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vid\Desktop\"/>
    </mc:Choice>
  </mc:AlternateContent>
  <bookViews>
    <workbookView xWindow="0" yWindow="0" windowWidth="24000" windowHeight="9735" tabRatio="500"/>
  </bookViews>
  <sheets>
    <sheet name="8. SUMMARY" sheetId="2" r:id="rId1"/>
    <sheet name="1. Transportation" sheetId="1" r:id="rId2"/>
    <sheet name="2. Heating and Cooling" sheetId="3" r:id="rId3"/>
    <sheet name="3. Lighting" sheetId="4" r:id="rId4"/>
    <sheet name="4A. Electronics" sheetId="5" r:id="rId5"/>
    <sheet name="4B. Total electricity" sheetId="6" r:id="rId6"/>
    <sheet name="5. Food" sheetId="7" r:id="rId7"/>
    <sheet name="6. Manufactured" sheetId="8" r:id="rId8"/>
    <sheet name="7. Services" sheetId="9" r:id="rId9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4" l="1"/>
  <c r="L8" i="4"/>
  <c r="M8" i="4"/>
  <c r="G8" i="4"/>
  <c r="N8" i="4"/>
  <c r="G9" i="4"/>
  <c r="H12" i="3"/>
  <c r="H11" i="3"/>
  <c r="H10" i="3"/>
  <c r="H9" i="3"/>
  <c r="H7" i="3"/>
  <c r="H8" i="3"/>
  <c r="D20" i="1"/>
  <c r="E20" i="1"/>
  <c r="F20" i="1"/>
  <c r="G20" i="1"/>
  <c r="E21" i="1"/>
  <c r="F21" i="1"/>
  <c r="G21" i="1"/>
  <c r="C23" i="1"/>
  <c r="H25" i="5"/>
  <c r="H24" i="5"/>
  <c r="H23" i="5"/>
  <c r="H22" i="5"/>
  <c r="H21" i="5"/>
  <c r="H20" i="5"/>
  <c r="H19" i="5"/>
  <c r="H18" i="5"/>
  <c r="C66" i="3"/>
  <c r="C68" i="3"/>
  <c r="G63" i="3"/>
  <c r="G64" i="3"/>
  <c r="E71" i="1"/>
  <c r="F71" i="1"/>
  <c r="G71" i="1"/>
  <c r="E72" i="1"/>
  <c r="F72" i="1"/>
  <c r="G72" i="1"/>
  <c r="C75" i="1"/>
  <c r="E69" i="1"/>
  <c r="F69" i="1"/>
  <c r="G69" i="1"/>
  <c r="E70" i="1"/>
  <c r="F70" i="1"/>
  <c r="G70" i="1"/>
  <c r="C74" i="1"/>
  <c r="E44" i="1"/>
  <c r="F44" i="1"/>
  <c r="G44" i="1"/>
  <c r="E45" i="1"/>
  <c r="F45" i="1"/>
  <c r="G45" i="1"/>
  <c r="C48" i="1"/>
  <c r="E42" i="1"/>
  <c r="F42" i="1"/>
  <c r="G42" i="1"/>
  <c r="E43" i="1"/>
  <c r="F43" i="1"/>
  <c r="G43" i="1"/>
  <c r="C47" i="1"/>
  <c r="E8" i="1"/>
  <c r="F8" i="1"/>
  <c r="G8" i="1"/>
  <c r="E9" i="1"/>
  <c r="F9" i="1"/>
  <c r="G9" i="1"/>
  <c r="C13" i="1"/>
  <c r="E9" i="2"/>
  <c r="F24" i="2"/>
  <c r="F21" i="2"/>
  <c r="F18" i="2"/>
  <c r="E10" i="1"/>
  <c r="F10" i="1"/>
  <c r="G10" i="1"/>
  <c r="E11" i="1"/>
  <c r="F11" i="1"/>
  <c r="G11" i="1"/>
  <c r="C14" i="1"/>
  <c r="C16" i="1"/>
  <c r="C25" i="1"/>
  <c r="C29" i="1"/>
  <c r="C120" i="1"/>
  <c r="C50" i="1"/>
  <c r="C52" i="1"/>
  <c r="C56" i="1"/>
  <c r="C121" i="1"/>
  <c r="D81" i="1"/>
  <c r="B66" i="1"/>
  <c r="E81" i="1"/>
  <c r="F81" i="1"/>
  <c r="G81" i="1"/>
  <c r="D82" i="1"/>
  <c r="E82" i="1"/>
  <c r="F82" i="1"/>
  <c r="G82" i="1"/>
  <c r="C84" i="1"/>
  <c r="C77" i="1"/>
  <c r="C86" i="1"/>
  <c r="C90" i="1"/>
  <c r="C122" i="1"/>
  <c r="E104" i="1"/>
  <c r="F104" i="1"/>
  <c r="G104" i="1"/>
  <c r="C107" i="1"/>
  <c r="C111" i="1"/>
  <c r="C123" i="1"/>
  <c r="C125" i="1"/>
  <c r="B9" i="2"/>
  <c r="J7" i="3"/>
  <c r="J8" i="3"/>
  <c r="J9" i="3"/>
  <c r="J10" i="3"/>
  <c r="J11" i="3"/>
  <c r="J12" i="3"/>
  <c r="J13" i="3"/>
  <c r="J15" i="3"/>
  <c r="J16" i="3"/>
  <c r="C18" i="3"/>
  <c r="C21" i="3"/>
  <c r="C23" i="3"/>
  <c r="C43" i="3"/>
  <c r="C44" i="3"/>
  <c r="C46" i="3"/>
  <c r="C36" i="3"/>
  <c r="C37" i="3"/>
  <c r="C51" i="3"/>
  <c r="C52" i="3"/>
  <c r="B10" i="2"/>
  <c r="C74" i="3"/>
  <c r="C75" i="3"/>
  <c r="C77" i="3"/>
  <c r="C78" i="3"/>
  <c r="C80" i="3"/>
  <c r="B4" i="6"/>
  <c r="L23" i="5"/>
  <c r="H4" i="7"/>
  <c r="I4" i="7"/>
  <c r="J4" i="7"/>
  <c r="L4" i="7"/>
  <c r="H5" i="7"/>
  <c r="I5" i="7"/>
  <c r="J5" i="7"/>
  <c r="L5" i="7"/>
  <c r="H6" i="7"/>
  <c r="I6" i="7"/>
  <c r="J6" i="7"/>
  <c r="L6" i="7"/>
  <c r="H7" i="7"/>
  <c r="I7" i="7"/>
  <c r="J7" i="7"/>
  <c r="L7" i="7"/>
  <c r="H8" i="7"/>
  <c r="I8" i="7"/>
  <c r="J8" i="7"/>
  <c r="L8" i="7"/>
  <c r="H9" i="7"/>
  <c r="I9" i="7"/>
  <c r="J9" i="7"/>
  <c r="L9" i="7"/>
  <c r="H11" i="7"/>
  <c r="I11" i="7"/>
  <c r="J11" i="7"/>
  <c r="L11" i="7"/>
  <c r="H12" i="7"/>
  <c r="I12" i="7"/>
  <c r="J12" i="7"/>
  <c r="L12" i="7"/>
  <c r="H13" i="7"/>
  <c r="I13" i="7"/>
  <c r="J13" i="7"/>
  <c r="L13" i="7"/>
  <c r="H14" i="7"/>
  <c r="I14" i="7"/>
  <c r="J14" i="7"/>
  <c r="L14" i="7"/>
  <c r="H16" i="7"/>
  <c r="I16" i="7"/>
  <c r="J16" i="7"/>
  <c r="L16" i="7"/>
  <c r="H17" i="7"/>
  <c r="I17" i="7"/>
  <c r="J17" i="7"/>
  <c r="L17" i="7"/>
  <c r="H18" i="7"/>
  <c r="I18" i="7"/>
  <c r="J18" i="7"/>
  <c r="L18" i="7"/>
  <c r="H19" i="7"/>
  <c r="I19" i="7"/>
  <c r="J19" i="7"/>
  <c r="L19" i="7"/>
  <c r="L21" i="7"/>
  <c r="B24" i="7"/>
  <c r="B27" i="7"/>
  <c r="B12" i="2"/>
  <c r="F4" i="8"/>
  <c r="F5" i="8"/>
  <c r="F6" i="8"/>
  <c r="F7" i="8"/>
  <c r="F8" i="8"/>
  <c r="F10" i="8"/>
  <c r="F13" i="8"/>
  <c r="B13" i="2"/>
  <c r="B5" i="9"/>
  <c r="B8" i="9"/>
  <c r="B14" i="2"/>
  <c r="F14" i="2"/>
  <c r="F13" i="2"/>
  <c r="F12" i="2"/>
  <c r="F10" i="2"/>
  <c r="F9" i="2"/>
  <c r="C20" i="6"/>
  <c r="C33" i="1"/>
  <c r="D120" i="1"/>
  <c r="C60" i="1"/>
  <c r="D121" i="1"/>
  <c r="C94" i="1"/>
  <c r="D122" i="1"/>
  <c r="C115" i="1"/>
  <c r="D123" i="1"/>
  <c r="D125" i="1"/>
  <c r="C9" i="2"/>
  <c r="C26" i="3"/>
  <c r="C28" i="3"/>
  <c r="C29" i="3"/>
  <c r="C31" i="3"/>
  <c r="C54" i="3"/>
  <c r="C55" i="3"/>
  <c r="C10" i="2"/>
  <c r="B30" i="7"/>
  <c r="C12" i="2"/>
  <c r="F16" i="8"/>
  <c r="C13" i="2"/>
  <c r="B6" i="9"/>
  <c r="B9" i="9"/>
  <c r="C14" i="2"/>
  <c r="H21" i="7"/>
  <c r="I21" i="7"/>
  <c r="J21" i="7"/>
  <c r="J20" i="7"/>
  <c r="J15" i="7"/>
  <c r="J10" i="7"/>
  <c r="H6" i="5"/>
  <c r="L6" i="5"/>
  <c r="D21" i="7"/>
  <c r="C21" i="7"/>
  <c r="G7" i="4"/>
  <c r="K7" i="4"/>
  <c r="M7" i="4"/>
  <c r="N7" i="4"/>
  <c r="K9" i="4"/>
  <c r="M9" i="4"/>
  <c r="N9" i="4"/>
  <c r="K6" i="4"/>
  <c r="M6" i="4"/>
  <c r="G6" i="4"/>
  <c r="N6" i="4"/>
  <c r="C12" i="4"/>
  <c r="C13" i="4"/>
  <c r="B5" i="6"/>
  <c r="L25" i="5"/>
  <c r="L22" i="5"/>
  <c r="L21" i="5"/>
  <c r="L20" i="5"/>
  <c r="L19" i="5"/>
  <c r="L18" i="5"/>
  <c r="H17" i="5"/>
  <c r="L17" i="5"/>
  <c r="H16" i="5"/>
  <c r="L16" i="5"/>
  <c r="H15" i="5"/>
  <c r="L15" i="5"/>
  <c r="H14" i="5"/>
  <c r="L14" i="5"/>
  <c r="H13" i="5"/>
  <c r="L13" i="5"/>
  <c r="H12" i="5"/>
  <c r="L12" i="5"/>
  <c r="H11" i="5"/>
  <c r="L11" i="5"/>
  <c r="H10" i="5"/>
  <c r="L10" i="5"/>
  <c r="H9" i="5"/>
  <c r="L9" i="5"/>
  <c r="H8" i="5"/>
  <c r="L8" i="5"/>
  <c r="H7" i="5"/>
  <c r="L7" i="5"/>
  <c r="B120" i="1"/>
  <c r="B121" i="1"/>
  <c r="B122" i="1"/>
  <c r="B123" i="1"/>
  <c r="B125" i="1"/>
  <c r="B100" i="1"/>
  <c r="B39" i="1"/>
  <c r="L24" i="5"/>
  <c r="C28" i="5"/>
  <c r="C29" i="5"/>
  <c r="B6" i="6"/>
  <c r="B8" i="6"/>
  <c r="B12" i="6"/>
  <c r="B25" i="6"/>
  <c r="B11" i="2"/>
  <c r="B16" i="2"/>
  <c r="F16" i="2"/>
  <c r="F11" i="2"/>
  <c r="B22" i="6"/>
  <c r="C11" i="2"/>
  <c r="C16" i="2"/>
  <c r="C25" i="2"/>
  <c r="B25" i="2"/>
  <c r="C22" i="2"/>
  <c r="B22" i="2"/>
  <c r="C19" i="2"/>
  <c r="B19" i="2"/>
</calcChain>
</file>

<file path=xl/sharedStrings.xml><?xml version="1.0" encoding="utf-8"?>
<sst xmlns="http://schemas.openxmlformats.org/spreadsheetml/2006/main" count="413" uniqueCount="289">
  <si>
    <t>Example: Personal Energy Audit Calculations</t>
  </si>
  <si>
    <t>1. Transportation</t>
  </si>
  <si>
    <t>a) Automobile travel</t>
  </si>
  <si>
    <t>Trip</t>
  </si>
  <si>
    <t>Day</t>
  </si>
  <si>
    <t>Passengers</t>
  </si>
  <si>
    <t>Sat</t>
  </si>
  <si>
    <t>Sun</t>
  </si>
  <si>
    <t>Miles</t>
  </si>
  <si>
    <t>Miles/MPG</t>
  </si>
  <si>
    <t>= Gallons</t>
  </si>
  <si>
    <t>Liters ( = Gallons * 3.8)</t>
  </si>
  <si>
    <t>Weekly liters:</t>
  </si>
  <si>
    <t>Annual road trips</t>
  </si>
  <si>
    <t>Route</t>
  </si>
  <si>
    <t>Annual liters:</t>
  </si>
  <si>
    <t>Road trip liters:</t>
  </si>
  <si>
    <t>kWh/L</t>
  </si>
  <si>
    <t>Annual kWh:</t>
  </si>
  <si>
    <t>kg CO2/L</t>
  </si>
  <si>
    <t>Annual kg CO2:</t>
  </si>
  <si>
    <t>b) Bus travel</t>
  </si>
  <si>
    <t>Bus mpg:</t>
  </si>
  <si>
    <t>Bus passengers:</t>
  </si>
  <si>
    <t>Bus passenger mpg:</t>
  </si>
  <si>
    <t>Miles/Passenger MPG</t>
  </si>
  <si>
    <t>c) Train travel</t>
  </si>
  <si>
    <t>Fully loaded train passenger mpg:</t>
  </si>
  <si>
    <t>Capacity</t>
  </si>
  <si>
    <t>Train passenger mpg:</t>
  </si>
  <si>
    <t>Train weekly liters:</t>
  </si>
  <si>
    <t>Infrequent trip liters:</t>
  </si>
  <si>
    <t>Infrequent trips</t>
  </si>
  <si>
    <t>New Brunswick-DC * 12</t>
  </si>
  <si>
    <t>New Brunswick-NYC * 30</t>
  </si>
  <si>
    <t>d) Air travel</t>
  </si>
  <si>
    <t>Fully loaded plane passenger mpg:</t>
  </si>
  <si>
    <t>Plane passenger mpg:</t>
  </si>
  <si>
    <t>50,000 miles per year</t>
  </si>
  <si>
    <t>Trips or total mileage</t>
  </si>
  <si>
    <t>e) Total liquid fuels consumption</t>
  </si>
  <si>
    <t>Source</t>
  </si>
  <si>
    <t>Liters</t>
  </si>
  <si>
    <t>kWh</t>
  </si>
  <si>
    <t>kg CO2</t>
  </si>
  <si>
    <t>Auto</t>
  </si>
  <si>
    <t>Bus</t>
  </si>
  <si>
    <t>Train</t>
  </si>
  <si>
    <t>Plane</t>
  </si>
  <si>
    <t>Total</t>
  </si>
  <si>
    <t>2. Heating and cooling</t>
  </si>
  <si>
    <t>a) Hot water</t>
  </si>
  <si>
    <t>Total sample weekday liters:</t>
  </si>
  <si>
    <t>Total sample weekend liters:</t>
  </si>
  <si>
    <t>Bus sample weekend liters:</t>
  </si>
  <si>
    <t>Train sample weekend liters:</t>
  </si>
  <si>
    <t>Train sample weekday liters:</t>
  </si>
  <si>
    <t>Weekend</t>
  </si>
  <si>
    <t>Sat.</t>
  </si>
  <si>
    <t>Hot shower (length in minutes)</t>
  </si>
  <si>
    <t>Baths (each)</t>
  </si>
  <si>
    <t>Dishwasher (number of loads)</t>
  </si>
  <si>
    <t>Sink (time in minutes)</t>
  </si>
  <si>
    <t>Laundry, hot (num. of loads)</t>
  </si>
  <si>
    <t>Laundry, warm (num. of loads)</t>
  </si>
  <si>
    <t>Other (describe)</t>
  </si>
  <si>
    <t>Weekday</t>
  </si>
  <si>
    <t>Sun.</t>
  </si>
  <si>
    <t>Rest of Week</t>
  </si>
  <si>
    <t>-</t>
  </si>
  <si>
    <t>Hours usage</t>
  </si>
  <si>
    <t>Thu</t>
  </si>
  <si>
    <t>Fri</t>
  </si>
  <si>
    <t>Flow rate (L/unit)</t>
  </si>
  <si>
    <t>Weekly liters</t>
  </si>
  <si>
    <t xml:space="preserve">Weekly units </t>
  </si>
  <si>
    <t>Total weekly liters</t>
  </si>
  <si>
    <t>Annual liters</t>
  </si>
  <si>
    <t>Energy to heat 1 L, ideally:</t>
  </si>
  <si>
    <t>Boiler efficiency:</t>
  </si>
  <si>
    <t>Heat lost in distribution:</t>
  </si>
  <si>
    <t>Energy to provide 1 L hot water:</t>
  </si>
  <si>
    <t>Annual energy consumption for hot water:</t>
  </si>
  <si>
    <t>Energy content of methane:</t>
  </si>
  <si>
    <t>kWh/kg</t>
  </si>
  <si>
    <t>kg methane consumed:</t>
  </si>
  <si>
    <t>kg</t>
  </si>
  <si>
    <t>molecular mass of methane:</t>
  </si>
  <si>
    <t>g/mol</t>
  </si>
  <si>
    <t>moles of methane consumed:</t>
  </si>
  <si>
    <t>mol</t>
  </si>
  <si>
    <t>moles of CO2 emitted:</t>
  </si>
  <si>
    <t>molecular mass of CO2:</t>
  </si>
  <si>
    <t>mass of CO2 emitted:</t>
  </si>
  <si>
    <t>b) Hot air</t>
  </si>
  <si>
    <t>Size per person of living space:</t>
  </si>
  <si>
    <t>sq. ft.</t>
  </si>
  <si>
    <t>m^2/ft^2:</t>
  </si>
  <si>
    <t>m^2/ft^2</t>
  </si>
  <si>
    <t>m^2</t>
  </si>
  <si>
    <t>HDD per year:</t>
  </si>
  <si>
    <t>Heat on for:</t>
  </si>
  <si>
    <t>days/year</t>
  </si>
  <si>
    <t>HDD reference temperature:</t>
  </si>
  <si>
    <t>°F</t>
  </si>
  <si>
    <t>Thermostat set point:</t>
  </si>
  <si>
    <t>Discount for lowered thermostat:</t>
  </si>
  <si>
    <t>degree days/year</t>
  </si>
  <si>
    <t>HDD/year</t>
  </si>
  <si>
    <t>Effective HDD:</t>
  </si>
  <si>
    <t>Effective HDD in °C:</t>
  </si>
  <si>
    <t>°C/°F</t>
  </si>
  <si>
    <t>Leakiness:</t>
  </si>
  <si>
    <t>W/m^2/°C</t>
  </si>
  <si>
    <t>Furnace efficiency:</t>
  </si>
  <si>
    <t>Hours/day:</t>
  </si>
  <si>
    <t>Annual energy consumption</t>
  </si>
  <si>
    <t>hours/day</t>
  </si>
  <si>
    <t>(W/m^2/°C) * (degree days/year) * (24 hours/day) * m^2 = Wh</t>
  </si>
  <si>
    <t>kg CH4</t>
  </si>
  <si>
    <t>kg CO2 emitted:</t>
  </si>
  <si>
    <t>c) Cold air</t>
  </si>
  <si>
    <t>BTU/h</t>
  </si>
  <si>
    <t>Window A/C cooling pwr:</t>
  </si>
  <si>
    <t>BTU/Wh</t>
  </si>
  <si>
    <t>W</t>
  </si>
  <si>
    <t>I have:</t>
  </si>
  <si>
    <t>CDD per year:</t>
  </si>
  <si>
    <t>CDD</t>
  </si>
  <si>
    <t>CDD reference temperature:</t>
  </si>
  <si>
    <t>Discount for raised thermostat:</t>
  </si>
  <si>
    <t>A/C on for:</t>
  </si>
  <si>
    <t>Effective CDD:</t>
  </si>
  <si>
    <t>Hours of A/C per DD:</t>
  </si>
  <si>
    <t>Hours of A/C operation:</t>
  </si>
  <si>
    <t>annual electricity demand:</t>
  </si>
  <si>
    <t>3. Lighting</t>
  </si>
  <si>
    <t>Incandescent lights</t>
  </si>
  <si>
    <t>CFLs</t>
  </si>
  <si>
    <t>Fluorescent tube lights</t>
  </si>
  <si>
    <t>Other (Describe)</t>
  </si>
  <si>
    <t>Bulb-hours</t>
  </si>
  <si>
    <t>Bulb-hours per week</t>
  </si>
  <si>
    <t>incadescent W equivalent</t>
  </si>
  <si>
    <t>incadescent lumens/W</t>
  </si>
  <si>
    <t>lumens</t>
  </si>
  <si>
    <t>lumens/W</t>
  </si>
  <si>
    <t>Wh/week</t>
  </si>
  <si>
    <t>Total kWh/week:</t>
  </si>
  <si>
    <t>Total kWh/year:</t>
  </si>
  <si>
    <t>4a. Electronics and appliances</t>
  </si>
  <si>
    <t>Refrigerator (large)</t>
  </si>
  <si>
    <t>Refrigerator (medium dorm size)</t>
  </si>
  <si>
    <t>Refrigerator (small dorm size)</t>
  </si>
  <si>
    <t>Washing machine</t>
  </si>
  <si>
    <t>Clothes dryer (hot)</t>
  </si>
  <si>
    <t>Clothes dryer (warm)</t>
  </si>
  <si>
    <t>Hair dryer</t>
  </si>
  <si>
    <t>Microwave oven</t>
  </si>
  <si>
    <t>Fan</t>
  </si>
  <si>
    <t>Computer (desktop, not incl. display)</t>
  </si>
  <si>
    <t>Computer (laptop)</t>
  </si>
  <si>
    <t>Phone/camera/e-reader charger</t>
  </si>
  <si>
    <t>Clock</t>
  </si>
  <si>
    <t>Stereo</t>
  </si>
  <si>
    <t>Hours</t>
  </si>
  <si>
    <t>Hours per week</t>
  </si>
  <si>
    <t>Watts</t>
  </si>
  <si>
    <t>Watt*hours/week</t>
  </si>
  <si>
    <t>LCD Television/Display (19”)</t>
  </si>
  <si>
    <t>LCD Television/Display (27”)</t>
  </si>
  <si>
    <t>LCD Television (40”)</t>
  </si>
  <si>
    <t>LCD Television (55”)</t>
  </si>
  <si>
    <t>Plasma Television (65”)</t>
  </si>
  <si>
    <t>Set-Top Box (DVR, DVD, etc.)</t>
  </si>
  <si>
    <t>4B. Total electricity</t>
  </si>
  <si>
    <t>Demand</t>
  </si>
  <si>
    <t>A/C</t>
  </si>
  <si>
    <t>Lighting</t>
  </si>
  <si>
    <t>Electronics/appliances</t>
  </si>
  <si>
    <t>kWh/year</t>
  </si>
  <si>
    <t>T&amp;D losses</t>
  </si>
  <si>
    <t>Total generated:</t>
  </si>
  <si>
    <t>NJ Grid Components</t>
  </si>
  <si>
    <t>Coal</t>
  </si>
  <si>
    <t>Nuclear</t>
  </si>
  <si>
    <t>Natural Gas</t>
  </si>
  <si>
    <t>Renewables</t>
  </si>
  <si>
    <t>kg CO2e/kWh</t>
  </si>
  <si>
    <t>Average kg CO2e/kWh</t>
  </si>
  <si>
    <t>kg CO2/kWh</t>
  </si>
  <si>
    <t>Annual CO2 from electricity:</t>
  </si>
  <si>
    <t>Generation efficiency:</t>
  </si>
  <si>
    <t>Primary energy used:</t>
  </si>
  <si>
    <t>kg CO2e</t>
  </si>
  <si>
    <t>5. Food</t>
  </si>
  <si>
    <t>Chicken</t>
  </si>
  <si>
    <t>Milk</t>
  </si>
  <si>
    <t>Eggs</t>
  </si>
  <si>
    <t>Beef</t>
  </si>
  <si>
    <t>Pork</t>
  </si>
  <si>
    <t>Lamb</t>
  </si>
  <si>
    <t>Herring</t>
  </si>
  <si>
    <t>Tuna</t>
  </si>
  <si>
    <t>Salmon</t>
  </si>
  <si>
    <t>Shrimp</t>
  </si>
  <si>
    <t>Corn</t>
  </si>
  <si>
    <t>Soy</t>
  </si>
  <si>
    <t>Apple</t>
  </si>
  <si>
    <t>Potatoes</t>
  </si>
  <si>
    <t>Food</t>
  </si>
  <si>
    <t>efficiency</t>
  </si>
  <si>
    <t>Calories: Day 1</t>
  </si>
  <si>
    <t>Calories: Day 2</t>
  </si>
  <si>
    <t>Wh/food Calorie</t>
  </si>
  <si>
    <t>Fossil Wh: Day 1</t>
  </si>
  <si>
    <t>Fossil Wh: Day 2</t>
  </si>
  <si>
    <t>Total:</t>
  </si>
  <si>
    <t>Annual Fossil kWh</t>
  </si>
  <si>
    <t>Food waste:</t>
  </si>
  <si>
    <t>kWh/yr including waste:</t>
  </si>
  <si>
    <t>Transport energy:</t>
  </si>
  <si>
    <t>kWh/yr including transport:</t>
  </si>
  <si>
    <t>Carbon intensity:</t>
  </si>
  <si>
    <t>Carbon emissions:</t>
  </si>
  <si>
    <t>6. Manufactured Goods</t>
  </si>
  <si>
    <t>Category</t>
  </si>
  <si>
    <t>Wood and metal products</t>
  </si>
  <si>
    <t>Plastic products</t>
  </si>
  <si>
    <t>Paper products</t>
  </si>
  <si>
    <t>Other products</t>
  </si>
  <si>
    <t>Sample period expenditures</t>
  </si>
  <si>
    <t>Annual expenditures</t>
  </si>
  <si>
    <t>Electronics, applances, apparel</t>
  </si>
  <si>
    <t>Energy intensity (kWh/$)</t>
  </si>
  <si>
    <t>Total annual embodied energy:</t>
  </si>
  <si>
    <t>Annual embodied energy (kWh)</t>
  </si>
  <si>
    <t>Transport and packaging:</t>
  </si>
  <si>
    <t>Total annual energy incl. transport and packaging:</t>
  </si>
  <si>
    <t>CO2 emissions:</t>
  </si>
  <si>
    <t>7. Services</t>
  </si>
  <si>
    <t>Annual expenditures:</t>
  </si>
  <si>
    <t>Energy intensity of commercial sector:</t>
  </si>
  <si>
    <t>Carbon intensity of commercial sector:</t>
  </si>
  <si>
    <t>kWh/$</t>
  </si>
  <si>
    <t>kg CO2/$</t>
  </si>
  <si>
    <t>Energy consumption:</t>
  </si>
  <si>
    <t>Sector</t>
  </si>
  <si>
    <t>Transportation</t>
  </si>
  <si>
    <t>Heating</t>
  </si>
  <si>
    <t>Electricity</t>
  </si>
  <si>
    <t>Material consumption</t>
  </si>
  <si>
    <t>Services</t>
  </si>
  <si>
    <t>Primary energy consumption (kWh/yr)</t>
  </si>
  <si>
    <t>CO2 emissions (kg CO2/yr)</t>
  </si>
  <si>
    <t>World average</t>
  </si>
  <si>
    <t>Me/World average</t>
  </si>
  <si>
    <t>Some possible ways to reduce my footprint</t>
  </si>
  <si>
    <t>Average fossil Wh</t>
  </si>
  <si>
    <t>US average</t>
  </si>
  <si>
    <t>for: Robert Kopp</t>
  </si>
  <si>
    <t>NJ average</t>
  </si>
  <si>
    <t>Me/US average</t>
  </si>
  <si>
    <t>Me/NJ average</t>
  </si>
  <si>
    <t>Honda Civic Hybrid</t>
  </si>
  <si>
    <t>Vehicle</t>
  </si>
  <si>
    <t>Vehicle miles/gallon</t>
  </si>
  <si>
    <t>Answers to questions 1-7 are in the appropriately labeled tabs.</t>
  </si>
  <si>
    <t>Hours/year</t>
  </si>
  <si>
    <t>Bus sample weekday liters:</t>
  </si>
  <si>
    <t>In general, the spreadsheet will likely work as designed If you change the blue cells.</t>
  </si>
  <si>
    <t>Power demand (W = Wh/yr / hours/year)</t>
  </si>
  <si>
    <t>Size of living space (ft^2):</t>
  </si>
  <si>
    <t>A/C power demand:</t>
  </si>
  <si>
    <t>Central AC cooling pwr:</t>
  </si>
  <si>
    <t>Central A/C BTU/h per 400 ft^2:</t>
  </si>
  <si>
    <t>A/C SEER:</t>
  </si>
  <si>
    <t>(set equal to either "window" or "central")</t>
  </si>
  <si>
    <t>window</t>
  </si>
  <si>
    <t>A/C cooling power:</t>
  </si>
  <si>
    <t>1. Fly less -- my current flying is about 20,000 kWh = ~30% of my total primary energy consumption; if I cut that in half, that'd save about 10,000 kWh, 2000 kg CO2.</t>
  </si>
  <si>
    <t>If I pursued all five strategies, that'd cut 10,000 kWh off my total energy, and about 2000 kg CO2.  This would drop me to ~3.5x the world average energy, and ~2.5x world average CO2.</t>
  </si>
  <si>
    <t>November 4, 2014 (based on data collected October 31-November 3, 201$)</t>
  </si>
  <si>
    <t>Mon</t>
  </si>
  <si>
    <t>Highland Park-Brooklyn</t>
  </si>
  <si>
    <t>Brooklyn-Highland Park</t>
  </si>
  <si>
    <t>Highland Park-DC r/t * 2</t>
  </si>
  <si>
    <t>Highland Park-Princeton r/t * 60</t>
  </si>
  <si>
    <t>LEDs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</si>
</sst>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;[Red]\-&quot;$&quot;#,##0"/>
    <numFmt numFmtId="165" formatCode="_-* #,##0.00_-;\-* #,##0.00_-;_-* &quot;-&quot;??_-;_-@_-"/>
    <numFmt numFmtId="166" formatCode="0.000"/>
    <numFmt numFmtId="167" formatCode="0.0"/>
    <numFmt numFmtId="168" formatCode="_-* #,##0_-;\-* #,##0_-;_-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</font>
    <font>
      <i/>
      <sz val="12"/>
      <color theme="1"/>
      <name val="Cambria"/>
    </font>
    <font>
      <i/>
      <sz val="12"/>
      <color theme="1"/>
      <name val="Calibri"/>
      <scheme val="minor"/>
    </font>
    <font>
      <i/>
      <u/>
      <sz val="12"/>
      <color theme="1"/>
      <name val="Calibri"/>
      <scheme val="minor"/>
    </font>
    <font>
      <b/>
      <i/>
      <sz val="12"/>
      <color theme="1"/>
      <name val="Calibri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90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0" fillId="0" borderId="0" xfId="0" quotePrefix="1"/>
    <xf numFmtId="0" fontId="4" fillId="0" borderId="0" xfId="0" quotePrefix="1" applyFont="1"/>
    <xf numFmtId="2" fontId="0" fillId="0" borderId="0" xfId="0" applyNumberFormat="1"/>
    <xf numFmtId="166" fontId="0" fillId="0" borderId="0" xfId="0" applyNumberFormat="1"/>
    <xf numFmtId="2" fontId="0" fillId="2" borderId="0" xfId="0" applyNumberFormat="1" applyFill="1"/>
    <xf numFmtId="0" fontId="0" fillId="2" borderId="0" xfId="0" applyFill="1"/>
    <xf numFmtId="167" fontId="0" fillId="2" borderId="0" xfId="0" applyNumberFormat="1" applyFill="1"/>
    <xf numFmtId="1" fontId="0" fillId="2" borderId="0" xfId="0" applyNumberFormat="1" applyFill="1"/>
    <xf numFmtId="1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right"/>
    </xf>
    <xf numFmtId="1" fontId="0" fillId="2" borderId="0" xfId="0" applyNumberFormat="1" applyFont="1" applyFill="1"/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 wrapText="1"/>
    </xf>
    <xf numFmtId="0" fontId="10" fillId="0" borderId="0" xfId="0" applyFont="1"/>
    <xf numFmtId="3" fontId="7" fillId="0" borderId="3" xfId="0" applyNumberFormat="1" applyFont="1" applyBorder="1" applyAlignment="1">
      <alignment vertical="center" wrapText="1"/>
    </xf>
    <xf numFmtId="10" fontId="7" fillId="0" borderId="2" xfId="0" applyNumberFormat="1" applyFont="1" applyBorder="1" applyAlignment="1">
      <alignment vertical="center" wrapText="1"/>
    </xf>
    <xf numFmtId="10" fontId="7" fillId="0" borderId="4" xfId="0" applyNumberFormat="1" applyFont="1" applyBorder="1" applyAlignment="1">
      <alignment vertical="center" wrapText="1"/>
    </xf>
    <xf numFmtId="9" fontId="7" fillId="0" borderId="4" xfId="0" applyNumberFormat="1" applyFont="1" applyBorder="1" applyAlignment="1">
      <alignment vertical="center" wrapText="1"/>
    </xf>
    <xf numFmtId="0" fontId="11" fillId="0" borderId="0" xfId="0" applyFont="1"/>
    <xf numFmtId="168" fontId="0" fillId="2" borderId="0" xfId="1" applyNumberFormat="1" applyFont="1" applyFill="1"/>
    <xf numFmtId="168" fontId="0" fillId="0" borderId="0" xfId="1" applyNumberFormat="1" applyFont="1"/>
    <xf numFmtId="0" fontId="2" fillId="0" borderId="0" xfId="0" applyFont="1"/>
    <xf numFmtId="168" fontId="0" fillId="0" borderId="0" xfId="0" applyNumberFormat="1"/>
    <xf numFmtId="0" fontId="0" fillId="3" borderId="0" xfId="0" applyFont="1" applyFill="1" applyAlignment="1">
      <alignment wrapText="1"/>
    </xf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0" fontId="7" fillId="4" borderId="4" xfId="0" applyFont="1" applyFill="1" applyBorder="1" applyAlignment="1">
      <alignment vertical="center" wrapText="1"/>
    </xf>
    <xf numFmtId="0" fontId="0" fillId="0" borderId="0" xfId="0" applyFill="1"/>
    <xf numFmtId="0" fontId="12" fillId="2" borderId="0" xfId="0" applyFont="1" applyFill="1"/>
    <xf numFmtId="164" fontId="0" fillId="4" borderId="0" xfId="0" applyNumberFormat="1" applyFill="1"/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left" vertical="top" wrapText="1"/>
    </xf>
    <xf numFmtId="0" fontId="0" fillId="0" borderId="0" xfId="0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9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A35" sqref="A35:F35"/>
    </sheetView>
  </sheetViews>
  <sheetFormatPr defaultColWidth="11" defaultRowHeight="15.75" x14ac:dyDescent="0.25"/>
  <cols>
    <col min="1" max="1" width="23" customWidth="1"/>
    <col min="2" max="2" width="16.875" customWidth="1"/>
    <col min="3" max="3" width="16.125" customWidth="1"/>
    <col min="4" max="4" width="13" customWidth="1"/>
    <col min="5" max="5" width="14.125" customWidth="1"/>
    <col min="6" max="6" width="14.5" customWidth="1"/>
  </cols>
  <sheetData>
    <row r="1" spans="1:6" x14ac:dyDescent="0.25">
      <c r="A1" s="1" t="s">
        <v>0</v>
      </c>
    </row>
    <row r="2" spans="1:6" x14ac:dyDescent="0.25">
      <c r="A2" s="32" t="s">
        <v>260</v>
      </c>
    </row>
    <row r="3" spans="1:6" x14ac:dyDescent="0.25">
      <c r="A3" s="3" t="s">
        <v>282</v>
      </c>
    </row>
    <row r="4" spans="1:6" x14ac:dyDescent="0.25">
      <c r="A4" s="3"/>
    </row>
    <row r="5" spans="1:6" x14ac:dyDescent="0.25">
      <c r="A5" s="35" t="s">
        <v>267</v>
      </c>
    </row>
    <row r="6" spans="1:6" x14ac:dyDescent="0.25">
      <c r="A6" s="35" t="s">
        <v>270</v>
      </c>
    </row>
    <row r="8" spans="1:6" ht="47.25" x14ac:dyDescent="0.25">
      <c r="A8" s="20" t="s">
        <v>247</v>
      </c>
      <c r="B8" s="20" t="s">
        <v>253</v>
      </c>
      <c r="C8" s="20" t="s">
        <v>254</v>
      </c>
      <c r="E8" s="20" t="s">
        <v>268</v>
      </c>
      <c r="F8" s="20" t="s">
        <v>271</v>
      </c>
    </row>
    <row r="9" spans="1:6" x14ac:dyDescent="0.25">
      <c r="A9" t="s">
        <v>248</v>
      </c>
      <c r="B9" s="33">
        <f>'1. Transportation'!C125</f>
        <v>29110.857142857138</v>
      </c>
      <c r="C9" s="33">
        <f>'1. Transportation'!D125</f>
        <v>6404.3885714285716</v>
      </c>
      <c r="E9" s="6">
        <f>365.25*24</f>
        <v>8766</v>
      </c>
      <c r="F9" s="36">
        <f>B9*1000/$E$9</f>
        <v>3320.882630944232</v>
      </c>
    </row>
    <row r="10" spans="1:6" x14ac:dyDescent="0.25">
      <c r="A10" t="s">
        <v>249</v>
      </c>
      <c r="B10" s="33">
        <f>'2. Heating and Cooling'!C23+'2. Heating and Cooling'!C52</f>
        <v>24929.606495251941</v>
      </c>
      <c r="C10" s="33">
        <f>'2. Heating and Cooling'!C31+'2. Heating and Cooling'!C55</f>
        <v>4896.8869901387734</v>
      </c>
      <c r="E10" s="6"/>
      <c r="F10" s="36">
        <f t="shared" ref="F10:F21" si="0">B10*1000/$E$9</f>
        <v>2843.897615246628</v>
      </c>
    </row>
    <row r="11" spans="1:6" x14ac:dyDescent="0.25">
      <c r="A11" t="s">
        <v>250</v>
      </c>
      <c r="B11" s="33">
        <f>'4B. Total electricity'!B25</f>
        <v>10830.207435462105</v>
      </c>
      <c r="C11" s="33">
        <f>'4B. Total electricity'!B22</f>
        <v>1937.5674310339125</v>
      </c>
      <c r="E11" s="6"/>
      <c r="F11" s="36">
        <f t="shared" si="0"/>
        <v>1235.478831332661</v>
      </c>
    </row>
    <row r="12" spans="1:6" x14ac:dyDescent="0.25">
      <c r="A12" t="s">
        <v>210</v>
      </c>
      <c r="B12" s="33">
        <f>'5. Food'!B27</f>
        <v>5004.1118753805868</v>
      </c>
      <c r="C12" s="33">
        <f>'5. Food'!B30</f>
        <v>1000.8223750761174</v>
      </c>
      <c r="E12" s="6"/>
      <c r="F12" s="36">
        <f t="shared" si="0"/>
        <v>570.8546515378265</v>
      </c>
    </row>
    <row r="13" spans="1:6" x14ac:dyDescent="0.25">
      <c r="A13" t="s">
        <v>251</v>
      </c>
      <c r="B13" s="33">
        <f>'6. Manufactured'!F13</f>
        <v>6545.0000000000009</v>
      </c>
      <c r="C13" s="33">
        <f>'6. Manufactured'!F16</f>
        <v>1309.0000000000002</v>
      </c>
      <c r="E13" s="6"/>
      <c r="F13" s="36">
        <f t="shared" si="0"/>
        <v>746.6347250741502</v>
      </c>
    </row>
    <row r="14" spans="1:6" x14ac:dyDescent="0.25">
      <c r="A14" t="s">
        <v>252</v>
      </c>
      <c r="B14" s="33">
        <f>'7. Services'!B8</f>
        <v>3000.0000000000005</v>
      </c>
      <c r="C14" s="33">
        <f>'7. Services'!B9</f>
        <v>555.55555555555554</v>
      </c>
      <c r="E14" s="6"/>
      <c r="F14" s="36">
        <f t="shared" si="0"/>
        <v>342.23134839151271</v>
      </c>
    </row>
    <row r="15" spans="1:6" x14ac:dyDescent="0.25">
      <c r="B15" s="34"/>
      <c r="C15" s="34"/>
    </row>
    <row r="16" spans="1:6" x14ac:dyDescent="0.25">
      <c r="A16" s="22" t="s">
        <v>49</v>
      </c>
      <c r="B16" s="33">
        <f>SUM(B9:B14)</f>
        <v>79419.782948951775</v>
      </c>
      <c r="C16" s="33">
        <f>SUM(C9:C14)</f>
        <v>16104.22092323293</v>
      </c>
      <c r="F16" s="36">
        <f t="shared" si="0"/>
        <v>9059.979802527012</v>
      </c>
    </row>
    <row r="17" spans="1:6" x14ac:dyDescent="0.25">
      <c r="B17" s="34"/>
      <c r="C17" s="34"/>
    </row>
    <row r="18" spans="1:6" x14ac:dyDescent="0.25">
      <c r="A18" s="22" t="s">
        <v>255</v>
      </c>
      <c r="B18" s="34">
        <v>21000</v>
      </c>
      <c r="C18" s="34">
        <v>4900</v>
      </c>
      <c r="F18" s="36">
        <f t="shared" si="0"/>
        <v>2395.6194387405885</v>
      </c>
    </row>
    <row r="19" spans="1:6" x14ac:dyDescent="0.25">
      <c r="A19" t="s">
        <v>256</v>
      </c>
      <c r="B19" s="8">
        <f>B$16/B18</f>
        <v>3.7818944261405609</v>
      </c>
      <c r="C19" s="8">
        <f>C$16/C18</f>
        <v>3.2865756986189654</v>
      </c>
    </row>
    <row r="20" spans="1:6" x14ac:dyDescent="0.25">
      <c r="F20" s="36"/>
    </row>
    <row r="21" spans="1:6" x14ac:dyDescent="0.25">
      <c r="A21" s="22" t="s">
        <v>261</v>
      </c>
      <c r="B21" s="34">
        <v>89000</v>
      </c>
      <c r="C21" s="34">
        <v>14000</v>
      </c>
      <c r="F21" s="36">
        <f t="shared" si="0"/>
        <v>10152.863335614875</v>
      </c>
    </row>
    <row r="22" spans="1:6" x14ac:dyDescent="0.25">
      <c r="A22" t="s">
        <v>263</v>
      </c>
      <c r="B22" s="8">
        <f>B$16/B21</f>
        <v>0.89235711178597499</v>
      </c>
      <c r="C22" s="8">
        <f>C$16/C21</f>
        <v>1.1503014945166379</v>
      </c>
    </row>
    <row r="23" spans="1:6" x14ac:dyDescent="0.25">
      <c r="A23" s="22"/>
      <c r="B23" s="34"/>
      <c r="C23" s="12"/>
    </row>
    <row r="24" spans="1:6" x14ac:dyDescent="0.25">
      <c r="A24" s="22" t="s">
        <v>259</v>
      </c>
      <c r="B24" s="34">
        <v>96000</v>
      </c>
      <c r="C24" s="34">
        <v>18000</v>
      </c>
      <c r="F24" s="36">
        <f t="shared" ref="F24" si="1">B24*1000/$E$9</f>
        <v>10951.403148528405</v>
      </c>
    </row>
    <row r="25" spans="1:6" x14ac:dyDescent="0.25">
      <c r="A25" t="s">
        <v>262</v>
      </c>
      <c r="B25" s="8">
        <f>B$16/B24</f>
        <v>0.82728940571824761</v>
      </c>
      <c r="C25" s="8">
        <f>C$16/C24</f>
        <v>0.89467894017960725</v>
      </c>
    </row>
    <row r="28" spans="1:6" x14ac:dyDescent="0.25">
      <c r="A28" s="2" t="s">
        <v>257</v>
      </c>
    </row>
    <row r="29" spans="1:6" ht="27.95" customHeight="1" x14ac:dyDescent="0.25">
      <c r="A29" s="46" t="s">
        <v>280</v>
      </c>
      <c r="B29" s="46"/>
      <c r="C29" s="46"/>
      <c r="D29" s="46"/>
      <c r="E29" s="46"/>
      <c r="F29" s="46"/>
    </row>
    <row r="30" spans="1:6" ht="33.950000000000003" customHeight="1" x14ac:dyDescent="0.25">
      <c r="A30" s="46">
        <v>2</v>
      </c>
      <c r="B30" s="46"/>
      <c r="C30" s="46"/>
      <c r="D30" s="46"/>
      <c r="E30" s="46"/>
      <c r="F30" s="46"/>
    </row>
    <row r="31" spans="1:6" ht="38.1" customHeight="1" x14ac:dyDescent="0.25">
      <c r="A31" s="46">
        <v>3</v>
      </c>
      <c r="B31" s="46"/>
      <c r="C31" s="46"/>
      <c r="D31" s="46"/>
      <c r="E31" s="46"/>
      <c r="F31" s="46"/>
    </row>
    <row r="32" spans="1:6" ht="35.1" customHeight="1" x14ac:dyDescent="0.25">
      <c r="A32" s="46">
        <v>4</v>
      </c>
      <c r="B32" s="46"/>
      <c r="C32" s="46"/>
      <c r="D32" s="46"/>
      <c r="E32" s="46"/>
      <c r="F32" s="46"/>
    </row>
    <row r="33" spans="1:6" ht="32.1" customHeight="1" x14ac:dyDescent="0.25">
      <c r="A33" s="46">
        <v>5</v>
      </c>
      <c r="B33" s="46"/>
      <c r="C33" s="46"/>
      <c r="D33" s="46"/>
      <c r="E33" s="46"/>
      <c r="F33" s="46"/>
    </row>
    <row r="34" spans="1:6" x14ac:dyDescent="0.25">
      <c r="A34" s="45"/>
      <c r="B34" s="45"/>
      <c r="C34" s="45"/>
      <c r="D34" s="45"/>
      <c r="E34" s="45"/>
      <c r="F34" s="45"/>
    </row>
    <row r="35" spans="1:6" ht="36" customHeight="1" x14ac:dyDescent="0.25">
      <c r="A35" s="46" t="s">
        <v>281</v>
      </c>
      <c r="B35" s="46"/>
      <c r="C35" s="46"/>
      <c r="D35" s="46"/>
      <c r="E35" s="46"/>
      <c r="F35" s="46"/>
    </row>
    <row r="37" spans="1:6" x14ac:dyDescent="0.25">
      <c r="A37" s="35"/>
    </row>
    <row r="41" spans="1:6" x14ac:dyDescent="0.25">
      <c r="A41" s="4"/>
    </row>
    <row r="42" spans="1:6" x14ac:dyDescent="0.25">
      <c r="A42" s="22"/>
    </row>
  </sheetData>
  <mergeCells count="6">
    <mergeCell ref="A35:F35"/>
    <mergeCell ref="A29:F29"/>
    <mergeCell ref="A30:F30"/>
    <mergeCell ref="A31:F31"/>
    <mergeCell ref="A32:F32"/>
    <mergeCell ref="A33:F3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opLeftCell="A84" workbookViewId="0">
      <selection activeCell="C131" sqref="C131"/>
    </sheetView>
  </sheetViews>
  <sheetFormatPr defaultColWidth="11" defaultRowHeight="15.75" x14ac:dyDescent="0.25"/>
  <cols>
    <col min="1" max="1" width="16.625" customWidth="1"/>
    <col min="2" max="2" width="9.125" customWidth="1"/>
    <col min="3" max="3" width="29.5" customWidth="1"/>
  </cols>
  <sheetData>
    <row r="1" spans="1:7" x14ac:dyDescent="0.25">
      <c r="A1" s="1" t="s">
        <v>1</v>
      </c>
    </row>
    <row r="2" spans="1:7" x14ac:dyDescent="0.25">
      <c r="A2" s="1" t="s">
        <v>2</v>
      </c>
    </row>
    <row r="4" spans="1:7" x14ac:dyDescent="0.25">
      <c r="A4" s="2" t="s">
        <v>265</v>
      </c>
      <c r="B4" s="2" t="s">
        <v>266</v>
      </c>
    </row>
    <row r="5" spans="1:7" x14ac:dyDescent="0.25">
      <c r="A5" s="37" t="s">
        <v>264</v>
      </c>
      <c r="B5" s="38">
        <v>42</v>
      </c>
    </row>
    <row r="7" spans="1:7" x14ac:dyDescent="0.25">
      <c r="A7" s="2" t="s">
        <v>4</v>
      </c>
      <c r="B7" s="2" t="s">
        <v>5</v>
      </c>
      <c r="C7" s="2" t="s">
        <v>3</v>
      </c>
      <c r="D7" s="2" t="s">
        <v>8</v>
      </c>
      <c r="E7" s="2" t="s">
        <v>9</v>
      </c>
      <c r="F7" s="5" t="s">
        <v>10</v>
      </c>
      <c r="G7" s="2" t="s">
        <v>11</v>
      </c>
    </row>
    <row r="8" spans="1:7" x14ac:dyDescent="0.25">
      <c r="A8" s="38" t="s">
        <v>72</v>
      </c>
      <c r="B8" s="38"/>
      <c r="C8" s="38"/>
      <c r="D8" s="38"/>
      <c r="E8" s="6">
        <f>D8/$B$5</f>
        <v>0</v>
      </c>
      <c r="F8" s="8">
        <f>E8</f>
        <v>0</v>
      </c>
      <c r="G8" s="8">
        <f>F8*3.8</f>
        <v>0</v>
      </c>
    </row>
    <row r="9" spans="1:7" x14ac:dyDescent="0.25">
      <c r="A9" s="38" t="s">
        <v>283</v>
      </c>
      <c r="B9" s="38"/>
      <c r="C9" s="38"/>
      <c r="D9" s="38"/>
      <c r="E9" s="6">
        <f>D9/$B$5</f>
        <v>0</v>
      </c>
      <c r="F9" s="8">
        <f>E9</f>
        <v>0</v>
      </c>
      <c r="G9" s="8">
        <f>F9*3.8</f>
        <v>0</v>
      </c>
    </row>
    <row r="10" spans="1:7" x14ac:dyDescent="0.25">
      <c r="A10" s="38" t="s">
        <v>6</v>
      </c>
      <c r="B10" s="38">
        <v>1</v>
      </c>
      <c r="C10" s="38" t="s">
        <v>284</v>
      </c>
      <c r="D10" s="38">
        <v>38</v>
      </c>
      <c r="E10" s="6">
        <f>D10/$B$5</f>
        <v>0.90476190476190477</v>
      </c>
      <c r="F10" s="8">
        <f>E10</f>
        <v>0.90476190476190477</v>
      </c>
      <c r="G10" s="8">
        <f>F10*3.8</f>
        <v>3.4380952380952379</v>
      </c>
    </row>
    <row r="11" spans="1:7" x14ac:dyDescent="0.25">
      <c r="A11" s="38" t="s">
        <v>7</v>
      </c>
      <c r="B11" s="38">
        <v>1</v>
      </c>
      <c r="C11" s="38" t="s">
        <v>285</v>
      </c>
      <c r="D11" s="38">
        <v>38</v>
      </c>
      <c r="E11" s="6">
        <f>D11/$B$5</f>
        <v>0.90476190476190477</v>
      </c>
      <c r="F11" s="8">
        <f>E11</f>
        <v>0.90476190476190477</v>
      </c>
      <c r="G11" s="8">
        <f>F11*3.8</f>
        <v>3.4380952380952379</v>
      </c>
    </row>
    <row r="13" spans="1:7" ht="31.5" x14ac:dyDescent="0.25">
      <c r="A13" s="13" t="s">
        <v>52</v>
      </c>
      <c r="C13" s="8">
        <f>SUM(G8:G9)</f>
        <v>0</v>
      </c>
    </row>
    <row r="14" spans="1:7" ht="31.5" x14ac:dyDescent="0.25">
      <c r="A14" s="13" t="s">
        <v>53</v>
      </c>
      <c r="C14" s="8">
        <f>SUM(G10:G11)</f>
        <v>6.8761904761904757</v>
      </c>
    </row>
    <row r="16" spans="1:7" x14ac:dyDescent="0.25">
      <c r="A16" t="s">
        <v>12</v>
      </c>
      <c r="C16" s="8">
        <f>C13*5/2+C14</f>
        <v>6.8761904761904757</v>
      </c>
    </row>
    <row r="18" spans="1:7" x14ac:dyDescent="0.25">
      <c r="A18" s="2" t="s">
        <v>13</v>
      </c>
    </row>
    <row r="19" spans="1:7" x14ac:dyDescent="0.25">
      <c r="B19" s="2" t="s">
        <v>5</v>
      </c>
      <c r="C19" s="2" t="s">
        <v>14</v>
      </c>
      <c r="D19" s="2" t="s">
        <v>8</v>
      </c>
      <c r="E19" s="2" t="s">
        <v>9</v>
      </c>
      <c r="F19" s="5" t="s">
        <v>10</v>
      </c>
      <c r="G19" s="2" t="s">
        <v>11</v>
      </c>
    </row>
    <row r="20" spans="1:7" x14ac:dyDescent="0.25">
      <c r="B20" s="38">
        <v>1</v>
      </c>
      <c r="C20" s="38" t="s">
        <v>287</v>
      </c>
      <c r="D20" s="38">
        <f>60*40</f>
        <v>2400</v>
      </c>
      <c r="E20" s="6">
        <f>D20/$B$5</f>
        <v>57.142857142857146</v>
      </c>
      <c r="F20" s="6">
        <f>E20</f>
        <v>57.142857142857146</v>
      </c>
      <c r="G20" s="6">
        <f>F20*3.8</f>
        <v>217.14285714285714</v>
      </c>
    </row>
    <row r="21" spans="1:7" x14ac:dyDescent="0.25">
      <c r="B21" s="38">
        <v>1</v>
      </c>
      <c r="C21" s="38" t="s">
        <v>286</v>
      </c>
      <c r="D21" s="38">
        <v>800</v>
      </c>
      <c r="E21" s="6">
        <f>D21/$B$5</f>
        <v>19.047619047619047</v>
      </c>
      <c r="F21" s="6">
        <f>E21</f>
        <v>19.047619047619047</v>
      </c>
      <c r="G21" s="6">
        <f>F21*3.8</f>
        <v>72.38095238095238</v>
      </c>
    </row>
    <row r="22" spans="1:7" x14ac:dyDescent="0.25">
      <c r="E22" s="6"/>
      <c r="F22" s="6"/>
      <c r="G22" s="6"/>
    </row>
    <row r="23" spans="1:7" x14ac:dyDescent="0.25">
      <c r="A23" t="s">
        <v>16</v>
      </c>
      <c r="C23" s="39">
        <f>SUM(G20:G21)</f>
        <v>289.52380952380952</v>
      </c>
      <c r="E23" s="6"/>
      <c r="F23" s="6"/>
      <c r="G23" s="6"/>
    </row>
    <row r="25" spans="1:7" x14ac:dyDescent="0.25">
      <c r="A25" t="s">
        <v>15</v>
      </c>
      <c r="C25" s="10">
        <f>C23+C16*52</f>
        <v>647.08571428571418</v>
      </c>
    </row>
    <row r="27" spans="1:7" x14ac:dyDescent="0.25">
      <c r="C27">
        <v>10</v>
      </c>
      <c r="D27" t="s">
        <v>17</v>
      </c>
    </row>
    <row r="29" spans="1:7" x14ac:dyDescent="0.25">
      <c r="A29" t="s">
        <v>18</v>
      </c>
      <c r="C29" s="11">
        <f>C25*C27</f>
        <v>6470.8571428571413</v>
      </c>
    </row>
    <row r="31" spans="1:7" x14ac:dyDescent="0.25">
      <c r="C31">
        <v>2.2000000000000002</v>
      </c>
      <c r="D31" t="s">
        <v>19</v>
      </c>
    </row>
    <row r="33" spans="1:7" x14ac:dyDescent="0.25">
      <c r="A33" t="s">
        <v>20</v>
      </c>
      <c r="C33" s="11">
        <f>C31*C25</f>
        <v>1423.5885714285714</v>
      </c>
    </row>
    <row r="35" spans="1:7" x14ac:dyDescent="0.25">
      <c r="A35" s="1" t="s">
        <v>21</v>
      </c>
    </row>
    <row r="37" spans="1:7" x14ac:dyDescent="0.25">
      <c r="A37" s="13" t="s">
        <v>22</v>
      </c>
      <c r="B37">
        <v>3</v>
      </c>
    </row>
    <row r="38" spans="1:7" x14ac:dyDescent="0.25">
      <c r="A38" s="13" t="s">
        <v>23</v>
      </c>
      <c r="B38">
        <v>30</v>
      </c>
    </row>
    <row r="39" spans="1:7" ht="31.5" x14ac:dyDescent="0.25">
      <c r="A39" s="13" t="s">
        <v>24</v>
      </c>
      <c r="B39">
        <f>B38*B37</f>
        <v>90</v>
      </c>
    </row>
    <row r="40" spans="1:7" x14ac:dyDescent="0.25">
      <c r="A40" s="13"/>
    </row>
    <row r="41" spans="1:7" x14ac:dyDescent="0.25">
      <c r="A41" s="2" t="s">
        <v>4</v>
      </c>
      <c r="B41" s="2"/>
      <c r="C41" s="2" t="s">
        <v>3</v>
      </c>
      <c r="D41" s="2" t="s">
        <v>8</v>
      </c>
      <c r="E41" s="2" t="s">
        <v>25</v>
      </c>
      <c r="F41" s="5" t="s">
        <v>10</v>
      </c>
      <c r="G41" s="2" t="s">
        <v>11</v>
      </c>
    </row>
    <row r="42" spans="1:7" x14ac:dyDescent="0.25">
      <c r="A42" s="38" t="s">
        <v>71</v>
      </c>
      <c r="B42" s="38"/>
      <c r="C42" s="38"/>
      <c r="D42" s="38"/>
      <c r="E42" s="6">
        <f>D42/$B$5</f>
        <v>0</v>
      </c>
      <c r="F42" s="8">
        <f>E42</f>
        <v>0</v>
      </c>
      <c r="G42" s="8">
        <f>F42*3.8</f>
        <v>0</v>
      </c>
    </row>
    <row r="43" spans="1:7" x14ac:dyDescent="0.25">
      <c r="A43" s="38" t="s">
        <v>72</v>
      </c>
      <c r="B43" s="38"/>
      <c r="C43" s="38"/>
      <c r="D43" s="38"/>
      <c r="E43" s="6">
        <f>D43/$B$5</f>
        <v>0</v>
      </c>
      <c r="F43" s="8">
        <f>E43</f>
        <v>0</v>
      </c>
      <c r="G43" s="8">
        <f>F43*3.8</f>
        <v>0</v>
      </c>
    </row>
    <row r="44" spans="1:7" x14ac:dyDescent="0.25">
      <c r="A44" s="38" t="s">
        <v>6</v>
      </c>
      <c r="B44" s="38"/>
      <c r="C44" s="38"/>
      <c r="D44" s="38"/>
      <c r="E44" s="6">
        <f>D44/$B$5</f>
        <v>0</v>
      </c>
      <c r="F44" s="8">
        <f>E44</f>
        <v>0</v>
      </c>
      <c r="G44" s="8">
        <f>F44*3.8</f>
        <v>0</v>
      </c>
    </row>
    <row r="45" spans="1:7" x14ac:dyDescent="0.25">
      <c r="A45" s="38" t="s">
        <v>7</v>
      </c>
      <c r="B45" s="38"/>
      <c r="C45" s="38"/>
      <c r="D45" s="38"/>
      <c r="E45" s="6">
        <f>D45/$B$5</f>
        <v>0</v>
      </c>
      <c r="F45" s="8">
        <f>E45</f>
        <v>0</v>
      </c>
      <c r="G45" s="8">
        <f>F45*3.8</f>
        <v>0</v>
      </c>
    </row>
    <row r="46" spans="1:7" x14ac:dyDescent="0.25">
      <c r="A46" s="2"/>
      <c r="B46" s="2"/>
      <c r="C46" s="2"/>
      <c r="D46" s="2"/>
      <c r="E46" s="2"/>
      <c r="F46" s="5"/>
      <c r="G46" s="2"/>
    </row>
    <row r="47" spans="1:7" ht="31.5" x14ac:dyDescent="0.25">
      <c r="A47" s="13" t="s">
        <v>269</v>
      </c>
      <c r="C47" s="8">
        <f>SUM(G42:G43)</f>
        <v>0</v>
      </c>
    </row>
    <row r="48" spans="1:7" ht="31.5" x14ac:dyDescent="0.25">
      <c r="A48" s="13" t="s">
        <v>54</v>
      </c>
      <c r="C48" s="8">
        <f>SUM(G44:G45)</f>
        <v>0</v>
      </c>
    </row>
    <row r="49" spans="1:4" x14ac:dyDescent="0.25">
      <c r="A49" s="13"/>
    </row>
    <row r="50" spans="1:4" x14ac:dyDescent="0.25">
      <c r="A50" s="13" t="s">
        <v>12</v>
      </c>
      <c r="C50" s="9">
        <f>C47*5/2+C48</f>
        <v>0</v>
      </c>
    </row>
    <row r="51" spans="1:4" x14ac:dyDescent="0.25">
      <c r="A51" s="13"/>
    </row>
    <row r="52" spans="1:4" x14ac:dyDescent="0.25">
      <c r="A52" s="13" t="s">
        <v>15</v>
      </c>
      <c r="C52" s="9">
        <f>C50*52</f>
        <v>0</v>
      </c>
    </row>
    <row r="54" spans="1:4" x14ac:dyDescent="0.25">
      <c r="C54">
        <v>10</v>
      </c>
      <c r="D54" t="s">
        <v>17</v>
      </c>
    </row>
    <row r="56" spans="1:4" x14ac:dyDescent="0.25">
      <c r="A56" t="s">
        <v>18</v>
      </c>
      <c r="C56" s="11">
        <f>C52*C54</f>
        <v>0</v>
      </c>
    </row>
    <row r="58" spans="1:4" x14ac:dyDescent="0.25">
      <c r="C58">
        <v>2.2000000000000002</v>
      </c>
      <c r="D58" t="s">
        <v>19</v>
      </c>
    </row>
    <row r="60" spans="1:4" x14ac:dyDescent="0.25">
      <c r="A60" t="s">
        <v>20</v>
      </c>
      <c r="C60" s="11">
        <f>C58*C52</f>
        <v>0</v>
      </c>
    </row>
    <row r="62" spans="1:4" x14ac:dyDescent="0.25">
      <c r="A62" s="1" t="s">
        <v>26</v>
      </c>
    </row>
    <row r="64" spans="1:4" ht="31.5" x14ac:dyDescent="0.25">
      <c r="A64" s="13" t="s">
        <v>27</v>
      </c>
      <c r="B64">
        <v>190</v>
      </c>
    </row>
    <row r="65" spans="1:7" x14ac:dyDescent="0.25">
      <c r="A65" s="13" t="s">
        <v>28</v>
      </c>
      <c r="B65" s="14">
        <v>0.5</v>
      </c>
    </row>
    <row r="66" spans="1:7" ht="31.5" x14ac:dyDescent="0.25">
      <c r="A66" s="13" t="s">
        <v>29</v>
      </c>
      <c r="B66">
        <f>B64*B65</f>
        <v>95</v>
      </c>
    </row>
    <row r="67" spans="1:7" x14ac:dyDescent="0.25">
      <c r="A67" s="13"/>
    </row>
    <row r="68" spans="1:7" x14ac:dyDescent="0.25">
      <c r="A68" s="2" t="s">
        <v>4</v>
      </c>
      <c r="B68" s="2"/>
      <c r="C68" s="2" t="s">
        <v>3</v>
      </c>
      <c r="D68" s="2" t="s">
        <v>8</v>
      </c>
      <c r="E68" s="2" t="s">
        <v>25</v>
      </c>
      <c r="F68" s="5" t="s">
        <v>10</v>
      </c>
      <c r="G68" s="2" t="s">
        <v>11</v>
      </c>
    </row>
    <row r="69" spans="1:7" x14ac:dyDescent="0.25">
      <c r="A69" s="38" t="s">
        <v>71</v>
      </c>
      <c r="B69" s="38"/>
      <c r="C69" s="38"/>
      <c r="D69" s="38"/>
      <c r="E69" s="6">
        <f>D69/$B$5</f>
        <v>0</v>
      </c>
      <c r="F69" s="8">
        <f>E69</f>
        <v>0</v>
      </c>
      <c r="G69" s="8">
        <f>F69*3.8</f>
        <v>0</v>
      </c>
    </row>
    <row r="70" spans="1:7" x14ac:dyDescent="0.25">
      <c r="A70" s="38" t="s">
        <v>72</v>
      </c>
      <c r="B70" s="38"/>
      <c r="C70" s="38"/>
      <c r="D70" s="38"/>
      <c r="E70" s="6">
        <f>D70/$B$5</f>
        <v>0</v>
      </c>
      <c r="F70" s="8">
        <f>E70</f>
        <v>0</v>
      </c>
      <c r="G70" s="8">
        <f>F70*3.8</f>
        <v>0</v>
      </c>
    </row>
    <row r="71" spans="1:7" x14ac:dyDescent="0.25">
      <c r="A71" s="38" t="s">
        <v>6</v>
      </c>
      <c r="B71" s="38"/>
      <c r="C71" s="38"/>
      <c r="D71" s="38"/>
      <c r="E71" s="6">
        <f>D71/$B$5</f>
        <v>0</v>
      </c>
      <c r="F71" s="8">
        <f>E71</f>
        <v>0</v>
      </c>
      <c r="G71" s="8">
        <f>F71*3.8</f>
        <v>0</v>
      </c>
    </row>
    <row r="72" spans="1:7" x14ac:dyDescent="0.25">
      <c r="A72" s="38" t="s">
        <v>7</v>
      </c>
      <c r="B72" s="38"/>
      <c r="C72" s="38"/>
      <c r="D72" s="38"/>
      <c r="E72" s="6">
        <f>D72/$B$5</f>
        <v>0</v>
      </c>
      <c r="F72" s="8">
        <f>E72</f>
        <v>0</v>
      </c>
      <c r="G72" s="8">
        <f>F72*3.8</f>
        <v>0</v>
      </c>
    </row>
    <row r="73" spans="1:7" x14ac:dyDescent="0.25">
      <c r="A73" s="2"/>
      <c r="B73" s="2"/>
      <c r="C73" s="2"/>
      <c r="D73" s="2"/>
      <c r="E73" s="2"/>
      <c r="F73" s="5"/>
      <c r="G73" s="2"/>
    </row>
    <row r="74" spans="1:7" ht="31.5" x14ac:dyDescent="0.25">
      <c r="A74" s="13" t="s">
        <v>56</v>
      </c>
      <c r="C74" s="8">
        <f>SUM(G69:G70)</f>
        <v>0</v>
      </c>
    </row>
    <row r="75" spans="1:7" ht="31.5" x14ac:dyDescent="0.25">
      <c r="A75" s="13" t="s">
        <v>55</v>
      </c>
      <c r="C75" s="8">
        <f>SUM(G71:G72)</f>
        <v>0</v>
      </c>
    </row>
    <row r="76" spans="1:7" x14ac:dyDescent="0.25">
      <c r="A76" s="13"/>
    </row>
    <row r="77" spans="1:7" x14ac:dyDescent="0.25">
      <c r="A77" s="13" t="s">
        <v>30</v>
      </c>
      <c r="C77" s="9">
        <f>C74*5/2+C75</f>
        <v>0</v>
      </c>
    </row>
    <row r="78" spans="1:7" x14ac:dyDescent="0.25">
      <c r="A78" s="13"/>
    </row>
    <row r="79" spans="1:7" x14ac:dyDescent="0.25">
      <c r="A79" s="2" t="s">
        <v>32</v>
      </c>
    </row>
    <row r="80" spans="1:7" x14ac:dyDescent="0.25">
      <c r="B80" s="2"/>
      <c r="C80" s="2" t="s">
        <v>14</v>
      </c>
      <c r="D80" s="2" t="s">
        <v>8</v>
      </c>
      <c r="E80" s="2" t="s">
        <v>25</v>
      </c>
      <c r="F80" s="5" t="s">
        <v>10</v>
      </c>
      <c r="G80" s="2" t="s">
        <v>11</v>
      </c>
    </row>
    <row r="81" spans="1:7" x14ac:dyDescent="0.25">
      <c r="C81" s="40" t="s">
        <v>33</v>
      </c>
      <c r="D81" s="40">
        <f>400*12</f>
        <v>4800</v>
      </c>
      <c r="E81" s="6">
        <f>D81/$B$66</f>
        <v>50.526315789473685</v>
      </c>
      <c r="F81" s="8">
        <f>E81</f>
        <v>50.526315789473685</v>
      </c>
      <c r="G81" s="8">
        <f>F81*3.8</f>
        <v>192</v>
      </c>
    </row>
    <row r="82" spans="1:7" x14ac:dyDescent="0.25">
      <c r="C82" s="40" t="s">
        <v>34</v>
      </c>
      <c r="D82" s="40">
        <f>60*30</f>
        <v>1800</v>
      </c>
      <c r="E82" s="6">
        <f>D82/$B$66</f>
        <v>18.94736842105263</v>
      </c>
      <c r="F82" s="8">
        <f>E82</f>
        <v>18.94736842105263</v>
      </c>
      <c r="G82" s="8">
        <f>F82*3.8</f>
        <v>71.999999999999986</v>
      </c>
    </row>
    <row r="83" spans="1:7" x14ac:dyDescent="0.25">
      <c r="E83" s="6"/>
      <c r="F83" s="6"/>
      <c r="G83" s="6"/>
    </row>
    <row r="84" spans="1:7" x14ac:dyDescent="0.25">
      <c r="A84" t="s">
        <v>31</v>
      </c>
      <c r="C84" s="8">
        <f>SUM(G81:G82)</f>
        <v>264</v>
      </c>
      <c r="E84" s="6"/>
      <c r="F84" s="6"/>
      <c r="G84" s="6"/>
    </row>
    <row r="86" spans="1:7" x14ac:dyDescent="0.25">
      <c r="A86" s="13" t="s">
        <v>15</v>
      </c>
      <c r="C86" s="8">
        <f>C84+C77</f>
        <v>264</v>
      </c>
    </row>
    <row r="88" spans="1:7" x14ac:dyDescent="0.25">
      <c r="C88">
        <v>10</v>
      </c>
      <c r="D88" t="s">
        <v>17</v>
      </c>
    </row>
    <row r="90" spans="1:7" x14ac:dyDescent="0.25">
      <c r="A90" t="s">
        <v>18</v>
      </c>
      <c r="C90" s="11">
        <f>C86*C88</f>
        <v>2640</v>
      </c>
    </row>
    <row r="92" spans="1:7" x14ac:dyDescent="0.25">
      <c r="C92">
        <v>2.2000000000000002</v>
      </c>
      <c r="D92" t="s">
        <v>19</v>
      </c>
    </row>
    <row r="94" spans="1:7" x14ac:dyDescent="0.25">
      <c r="A94" t="s">
        <v>20</v>
      </c>
      <c r="C94" s="11">
        <f>C92*C86</f>
        <v>580.80000000000007</v>
      </c>
    </row>
    <row r="96" spans="1:7" x14ac:dyDescent="0.25">
      <c r="A96" s="1" t="s">
        <v>35</v>
      </c>
    </row>
    <row r="98" spans="1:7" ht="31.5" x14ac:dyDescent="0.25">
      <c r="A98" s="13" t="s">
        <v>36</v>
      </c>
      <c r="B98">
        <v>91</v>
      </c>
    </row>
    <row r="99" spans="1:7" x14ac:dyDescent="0.25">
      <c r="A99" s="13" t="s">
        <v>28</v>
      </c>
      <c r="B99" s="14">
        <v>0.8</v>
      </c>
    </row>
    <row r="100" spans="1:7" ht="31.5" x14ac:dyDescent="0.25">
      <c r="A100" s="13" t="s">
        <v>37</v>
      </c>
      <c r="B100">
        <f>B98*B99</f>
        <v>72.8</v>
      </c>
    </row>
    <row r="101" spans="1:7" x14ac:dyDescent="0.25">
      <c r="A101" s="13"/>
    </row>
    <row r="102" spans="1:7" x14ac:dyDescent="0.25">
      <c r="A102" s="2" t="s">
        <v>39</v>
      </c>
    </row>
    <row r="103" spans="1:7" x14ac:dyDescent="0.25">
      <c r="B103" s="2"/>
      <c r="C103" s="2" t="s">
        <v>14</v>
      </c>
      <c r="D103" s="2" t="s">
        <v>8</v>
      </c>
      <c r="E103" s="2" t="s">
        <v>25</v>
      </c>
      <c r="F103" s="5" t="s">
        <v>10</v>
      </c>
      <c r="G103" s="2" t="s">
        <v>11</v>
      </c>
    </row>
    <row r="104" spans="1:7" x14ac:dyDescent="0.25">
      <c r="C104" s="40" t="s">
        <v>38</v>
      </c>
      <c r="D104" s="40">
        <v>50000</v>
      </c>
      <c r="E104" s="6">
        <f>D104/$B$66</f>
        <v>526.31578947368416</v>
      </c>
      <c r="F104" s="8">
        <f>E104</f>
        <v>526.31578947368416</v>
      </c>
      <c r="G104" s="8">
        <f>F104*3.8</f>
        <v>1999.9999999999998</v>
      </c>
    </row>
    <row r="105" spans="1:7" x14ac:dyDescent="0.25">
      <c r="E105" s="6"/>
      <c r="F105" s="6"/>
      <c r="G105" s="6"/>
    </row>
    <row r="106" spans="1:7" x14ac:dyDescent="0.25">
      <c r="E106" s="6"/>
      <c r="F106" s="6"/>
      <c r="G106" s="6"/>
    </row>
    <row r="107" spans="1:7" x14ac:dyDescent="0.25">
      <c r="A107" s="13" t="s">
        <v>15</v>
      </c>
      <c r="C107" s="8">
        <f>SUM(G104:G105)</f>
        <v>1999.9999999999998</v>
      </c>
    </row>
    <row r="109" spans="1:7" x14ac:dyDescent="0.25">
      <c r="C109">
        <v>10</v>
      </c>
      <c r="D109" t="s">
        <v>17</v>
      </c>
    </row>
    <row r="111" spans="1:7" x14ac:dyDescent="0.25">
      <c r="A111" t="s">
        <v>18</v>
      </c>
      <c r="C111" s="11">
        <f>C107*C109</f>
        <v>19999.999999999996</v>
      </c>
    </row>
    <row r="113" spans="1:4" x14ac:dyDescent="0.25">
      <c r="C113">
        <v>2.2000000000000002</v>
      </c>
      <c r="D113" t="s">
        <v>19</v>
      </c>
    </row>
    <row r="115" spans="1:4" x14ac:dyDescent="0.25">
      <c r="A115" t="s">
        <v>20</v>
      </c>
      <c r="C115" s="11">
        <f>C113*C107</f>
        <v>4400</v>
      </c>
    </row>
    <row r="117" spans="1:4" x14ac:dyDescent="0.25">
      <c r="A117" s="1" t="s">
        <v>40</v>
      </c>
    </row>
    <row r="119" spans="1:4" x14ac:dyDescent="0.25">
      <c r="A119" s="2" t="s">
        <v>41</v>
      </c>
      <c r="B119" s="2" t="s">
        <v>42</v>
      </c>
      <c r="C119" s="2" t="s">
        <v>43</v>
      </c>
      <c r="D119" s="2" t="s">
        <v>44</v>
      </c>
    </row>
    <row r="120" spans="1:4" x14ac:dyDescent="0.25">
      <c r="A120" t="s">
        <v>45</v>
      </c>
      <c r="B120" s="10">
        <f>C25</f>
        <v>647.08571428571418</v>
      </c>
      <c r="C120" s="11">
        <f>C29</f>
        <v>6470.8571428571413</v>
      </c>
      <c r="D120" s="11">
        <f>C33</f>
        <v>1423.5885714285714</v>
      </c>
    </row>
    <row r="121" spans="1:4" x14ac:dyDescent="0.25">
      <c r="A121" t="s">
        <v>46</v>
      </c>
      <c r="B121" s="9">
        <f>C52</f>
        <v>0</v>
      </c>
      <c r="C121" s="11">
        <f>C56</f>
        <v>0</v>
      </c>
      <c r="D121" s="11">
        <f>C60</f>
        <v>0</v>
      </c>
    </row>
    <row r="122" spans="1:4" x14ac:dyDescent="0.25">
      <c r="A122" t="s">
        <v>47</v>
      </c>
      <c r="B122" s="8">
        <f>C86</f>
        <v>264</v>
      </c>
      <c r="C122" s="11">
        <f>C90</f>
        <v>2640</v>
      </c>
      <c r="D122" s="11">
        <f>C94</f>
        <v>580.80000000000007</v>
      </c>
    </row>
    <row r="123" spans="1:4" x14ac:dyDescent="0.25">
      <c r="A123" t="s">
        <v>48</v>
      </c>
      <c r="B123" s="8">
        <f>C107</f>
        <v>1999.9999999999998</v>
      </c>
      <c r="C123" s="11">
        <f>C111</f>
        <v>19999.999999999996</v>
      </c>
      <c r="D123" s="11">
        <f>C115</f>
        <v>4400</v>
      </c>
    </row>
    <row r="125" spans="1:4" x14ac:dyDescent="0.25">
      <c r="A125" t="s">
        <v>49</v>
      </c>
      <c r="B125" s="10">
        <f>SUM(B120:B123)</f>
        <v>2911.0857142857139</v>
      </c>
      <c r="C125" s="10">
        <f>SUM(C120:C123)</f>
        <v>29110.857142857138</v>
      </c>
      <c r="D125" s="10">
        <f>SUM(D120:D123)</f>
        <v>6404.3885714285716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opLeftCell="A49" workbookViewId="0">
      <selection activeCell="C85" sqref="C85"/>
    </sheetView>
  </sheetViews>
  <sheetFormatPr defaultColWidth="11" defaultRowHeight="15.75" x14ac:dyDescent="0.25"/>
  <sheetData>
    <row r="1" spans="1:10" x14ac:dyDescent="0.25">
      <c r="A1" s="1" t="s">
        <v>50</v>
      </c>
    </row>
    <row r="2" spans="1:10" x14ac:dyDescent="0.25">
      <c r="A2" s="1" t="s">
        <v>51</v>
      </c>
    </row>
    <row r="3" spans="1:10" x14ac:dyDescent="0.25">
      <c r="A3" s="1"/>
    </row>
    <row r="4" spans="1:10" ht="16.5" thickBot="1" x14ac:dyDescent="0.3"/>
    <row r="5" spans="1:10" ht="32.25" thickBot="1" x14ac:dyDescent="0.3">
      <c r="A5" s="19" t="s">
        <v>70</v>
      </c>
      <c r="B5" s="48" t="s">
        <v>57</v>
      </c>
      <c r="C5" s="49"/>
      <c r="D5" s="48" t="s">
        <v>66</v>
      </c>
      <c r="E5" s="49"/>
      <c r="F5" s="16"/>
      <c r="H5" s="2" t="s">
        <v>75</v>
      </c>
      <c r="I5" s="20" t="s">
        <v>73</v>
      </c>
      <c r="J5" s="2" t="s">
        <v>74</v>
      </c>
    </row>
    <row r="6" spans="1:10" ht="32.25" thickBot="1" x14ac:dyDescent="0.3">
      <c r="A6" s="17"/>
      <c r="B6" s="18" t="s">
        <v>58</v>
      </c>
      <c r="C6" s="18" t="s">
        <v>67</v>
      </c>
      <c r="D6" s="18" t="s">
        <v>72</v>
      </c>
      <c r="E6" s="18" t="s">
        <v>283</v>
      </c>
      <c r="F6" s="18" t="s">
        <v>68</v>
      </c>
    </row>
    <row r="7" spans="1:10" ht="63.75" thickBot="1" x14ac:dyDescent="0.3">
      <c r="A7" s="17" t="s">
        <v>59</v>
      </c>
      <c r="B7" s="41">
        <v>10</v>
      </c>
      <c r="C7" s="41">
        <v>10</v>
      </c>
      <c r="D7" s="41">
        <v>10</v>
      </c>
      <c r="E7" s="41">
        <v>10</v>
      </c>
      <c r="F7" s="41" t="s">
        <v>69</v>
      </c>
      <c r="H7" s="9">
        <f>SUM(B7:C7)+5/2*SUM(D7:E7)+F8</f>
        <v>71</v>
      </c>
      <c r="I7">
        <v>11</v>
      </c>
      <c r="J7" s="9">
        <f>H7*I7</f>
        <v>781</v>
      </c>
    </row>
    <row r="8" spans="1:10" ht="32.25" thickBot="1" x14ac:dyDescent="0.3">
      <c r="A8" s="17" t="s">
        <v>60</v>
      </c>
      <c r="B8" s="41">
        <v>0</v>
      </c>
      <c r="C8" s="41">
        <v>0</v>
      </c>
      <c r="D8" s="41">
        <v>0</v>
      </c>
      <c r="E8" s="41">
        <v>0</v>
      </c>
      <c r="F8" s="41">
        <v>1</v>
      </c>
      <c r="H8" s="9">
        <f>SUM(B8:C8)+5/2*SUM(D8:E8)+F8</f>
        <v>1</v>
      </c>
      <c r="I8">
        <v>110</v>
      </c>
      <c r="J8" s="9">
        <f t="shared" ref="J8:J13" si="0">H8*I8</f>
        <v>110</v>
      </c>
    </row>
    <row r="9" spans="1:10" ht="48" thickBot="1" x14ac:dyDescent="0.3">
      <c r="A9" s="17" t="s">
        <v>61</v>
      </c>
      <c r="B9" s="41">
        <v>0</v>
      </c>
      <c r="C9" s="41">
        <v>0</v>
      </c>
      <c r="D9" s="41">
        <v>0</v>
      </c>
      <c r="E9" s="41">
        <v>0</v>
      </c>
      <c r="F9" s="41">
        <v>1</v>
      </c>
      <c r="H9" s="9">
        <f>SUM(B9:C9)+5/2*SUM(D9:E9)+F9</f>
        <v>1</v>
      </c>
      <c r="I9">
        <v>45</v>
      </c>
      <c r="J9" s="9">
        <f t="shared" si="0"/>
        <v>45</v>
      </c>
    </row>
    <row r="10" spans="1:10" ht="32.25" thickBot="1" x14ac:dyDescent="0.3">
      <c r="A10" s="17" t="s">
        <v>62</v>
      </c>
      <c r="B10" s="41">
        <v>5</v>
      </c>
      <c r="C10" s="41">
        <v>3</v>
      </c>
      <c r="D10" s="41">
        <v>5</v>
      </c>
      <c r="E10" s="41">
        <v>3</v>
      </c>
      <c r="F10" s="41"/>
      <c r="H10" s="9">
        <f>SUM(B10:C10)+5/2*SUM(D10:E10)+F10</f>
        <v>28</v>
      </c>
      <c r="I10">
        <v>8</v>
      </c>
      <c r="J10" s="9">
        <f t="shared" si="0"/>
        <v>224</v>
      </c>
    </row>
    <row r="11" spans="1:10" ht="48" thickBot="1" x14ac:dyDescent="0.3">
      <c r="A11" s="17" t="s">
        <v>63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H11" s="9">
        <f>SUM(B11:C11)+5/2*SUM(D11:E11)+F11</f>
        <v>0</v>
      </c>
      <c r="I11" s="21">
        <v>80</v>
      </c>
      <c r="J11" s="9">
        <f t="shared" si="0"/>
        <v>0</v>
      </c>
    </row>
    <row r="12" spans="1:10" ht="63.75" thickBot="1" x14ac:dyDescent="0.3">
      <c r="A12" s="17" t="s">
        <v>64</v>
      </c>
      <c r="B12" s="41">
        <v>0</v>
      </c>
      <c r="C12" s="41">
        <v>0</v>
      </c>
      <c r="D12" s="41">
        <v>0</v>
      </c>
      <c r="E12" s="41">
        <v>0</v>
      </c>
      <c r="F12" s="41">
        <v>2</v>
      </c>
      <c r="H12" s="9">
        <f>SUM(B12:C12)+5/2*SUM(D12:E12)+F12</f>
        <v>2</v>
      </c>
      <c r="I12" s="21">
        <v>40</v>
      </c>
      <c r="J12" s="9">
        <f t="shared" si="0"/>
        <v>80</v>
      </c>
    </row>
    <row r="13" spans="1:10" ht="32.25" thickBot="1" x14ac:dyDescent="0.3">
      <c r="A13" s="17" t="s">
        <v>65</v>
      </c>
      <c r="B13" s="18"/>
      <c r="C13" s="18"/>
      <c r="D13" s="18"/>
      <c r="E13" s="18"/>
      <c r="F13" s="18" t="s">
        <v>69</v>
      </c>
      <c r="H13" s="9"/>
      <c r="J13" s="9">
        <f t="shared" si="0"/>
        <v>0</v>
      </c>
    </row>
    <row r="15" spans="1:10" x14ac:dyDescent="0.25">
      <c r="I15" s="23" t="s">
        <v>76</v>
      </c>
      <c r="J15" s="9">
        <f>SUM(J7:J13)</f>
        <v>1240</v>
      </c>
    </row>
    <row r="16" spans="1:10" x14ac:dyDescent="0.25">
      <c r="I16" s="23" t="s">
        <v>77</v>
      </c>
      <c r="J16" s="9">
        <f>52*J15</f>
        <v>64480</v>
      </c>
    </row>
    <row r="18" spans="1:4" ht="45" customHeight="1" x14ac:dyDescent="0.25">
      <c r="A18" s="47" t="s">
        <v>78</v>
      </c>
      <c r="B18" s="47"/>
      <c r="C18" s="6">
        <f>50*4200/3600000</f>
        <v>5.8333333333333334E-2</v>
      </c>
      <c r="D18" t="s">
        <v>43</v>
      </c>
    </row>
    <row r="19" spans="1:4" ht="30" customHeight="1" x14ac:dyDescent="0.25">
      <c r="A19" s="47" t="s">
        <v>79</v>
      </c>
      <c r="B19" s="47"/>
      <c r="C19" s="14">
        <v>0.9</v>
      </c>
    </row>
    <row r="20" spans="1:4" ht="45" customHeight="1" x14ac:dyDescent="0.25">
      <c r="A20" s="47" t="s">
        <v>80</v>
      </c>
      <c r="B20" s="47"/>
      <c r="C20" s="14">
        <v>0.2</v>
      </c>
    </row>
    <row r="21" spans="1:4" ht="45" customHeight="1" x14ac:dyDescent="0.25">
      <c r="A21" s="47" t="s">
        <v>81</v>
      </c>
      <c r="B21" s="47"/>
      <c r="C21" s="6">
        <f>C18/C19/(1-C20)</f>
        <v>8.1018518518518504E-2</v>
      </c>
      <c r="D21" t="s">
        <v>43</v>
      </c>
    </row>
    <row r="22" spans="1:4" x14ac:dyDescent="0.25">
      <c r="A22" s="13"/>
    </row>
    <row r="23" spans="1:4" ht="75" customHeight="1" x14ac:dyDescent="0.25">
      <c r="A23" s="47" t="s">
        <v>82</v>
      </c>
      <c r="B23" s="47"/>
      <c r="C23" s="11">
        <f>J16*C21</f>
        <v>5224.074074074073</v>
      </c>
      <c r="D23" t="s">
        <v>43</v>
      </c>
    </row>
    <row r="25" spans="1:4" ht="29.1" customHeight="1" x14ac:dyDescent="0.25">
      <c r="A25" s="47" t="s">
        <v>83</v>
      </c>
      <c r="B25" s="47"/>
      <c r="C25">
        <v>14</v>
      </c>
      <c r="D25" t="s">
        <v>84</v>
      </c>
    </row>
    <row r="26" spans="1:4" x14ac:dyDescent="0.25">
      <c r="A26" t="s">
        <v>85</v>
      </c>
      <c r="C26" s="11">
        <f>C23/C25</f>
        <v>373.1481481481481</v>
      </c>
      <c r="D26" t="s">
        <v>86</v>
      </c>
    </row>
    <row r="27" spans="1:4" x14ac:dyDescent="0.25">
      <c r="A27" t="s">
        <v>87</v>
      </c>
      <c r="C27">
        <v>16</v>
      </c>
      <c r="D27" t="s">
        <v>88</v>
      </c>
    </row>
    <row r="28" spans="1:4" x14ac:dyDescent="0.25">
      <c r="A28" t="s">
        <v>89</v>
      </c>
      <c r="C28" s="12">
        <f>C26*1000/C27</f>
        <v>23321.759259259255</v>
      </c>
      <c r="D28" t="s">
        <v>90</v>
      </c>
    </row>
    <row r="29" spans="1:4" x14ac:dyDescent="0.25">
      <c r="A29" t="s">
        <v>91</v>
      </c>
      <c r="C29" s="12">
        <f>C28</f>
        <v>23321.759259259255</v>
      </c>
    </row>
    <row r="30" spans="1:4" x14ac:dyDescent="0.25">
      <c r="A30" t="s">
        <v>92</v>
      </c>
      <c r="C30">
        <v>44</v>
      </c>
      <c r="D30" t="s">
        <v>88</v>
      </c>
    </row>
    <row r="31" spans="1:4" x14ac:dyDescent="0.25">
      <c r="A31" t="s">
        <v>93</v>
      </c>
      <c r="C31" s="11">
        <f>C29*C30/1000</f>
        <v>1026.1574074074072</v>
      </c>
      <c r="D31" t="s">
        <v>86</v>
      </c>
    </row>
    <row r="33" spans="1:4" x14ac:dyDescent="0.25">
      <c r="A33" s="1" t="s">
        <v>94</v>
      </c>
    </row>
    <row r="35" spans="1:4" x14ac:dyDescent="0.25">
      <c r="A35" t="s">
        <v>95</v>
      </c>
      <c r="C35" s="40">
        <v>1500</v>
      </c>
      <c r="D35" t="s">
        <v>96</v>
      </c>
    </row>
    <row r="36" spans="1:4" x14ac:dyDescent="0.25">
      <c r="A36" t="s">
        <v>97</v>
      </c>
      <c r="C36" s="7">
        <f>(1/3.28)^2</f>
        <v>9.2950624628197503E-2</v>
      </c>
      <c r="D36" t="s">
        <v>98</v>
      </c>
    </row>
    <row r="37" spans="1:4" x14ac:dyDescent="0.25">
      <c r="A37" t="s">
        <v>95</v>
      </c>
      <c r="C37" s="11">
        <f>C35*C36</f>
        <v>139.42593694229626</v>
      </c>
      <c r="D37" t="s">
        <v>99</v>
      </c>
    </row>
    <row r="39" spans="1:4" x14ac:dyDescent="0.25">
      <c r="A39" t="s">
        <v>100</v>
      </c>
      <c r="C39">
        <v>5300</v>
      </c>
      <c r="D39" t="s">
        <v>108</v>
      </c>
    </row>
    <row r="40" spans="1:4" x14ac:dyDescent="0.25">
      <c r="A40" t="s">
        <v>101</v>
      </c>
      <c r="C40">
        <v>180</v>
      </c>
      <c r="D40" t="s">
        <v>102</v>
      </c>
    </row>
    <row r="41" spans="1:4" x14ac:dyDescent="0.25">
      <c r="A41" t="s">
        <v>103</v>
      </c>
      <c r="C41">
        <v>65</v>
      </c>
      <c r="D41" t="s">
        <v>104</v>
      </c>
    </row>
    <row r="42" spans="1:4" x14ac:dyDescent="0.25">
      <c r="A42" t="s">
        <v>105</v>
      </c>
      <c r="C42" s="40">
        <v>65</v>
      </c>
      <c r="D42" t="s">
        <v>104</v>
      </c>
    </row>
    <row r="43" spans="1:4" x14ac:dyDescent="0.25">
      <c r="A43" t="s">
        <v>106</v>
      </c>
      <c r="C43" s="9">
        <f>(C41-C42)*C40</f>
        <v>0</v>
      </c>
      <c r="D43" t="s">
        <v>107</v>
      </c>
    </row>
    <row r="44" spans="1:4" x14ac:dyDescent="0.25">
      <c r="A44" t="s">
        <v>109</v>
      </c>
      <c r="C44" s="9">
        <f>C39-C43</f>
        <v>5300</v>
      </c>
      <c r="D44" t="s">
        <v>107</v>
      </c>
    </row>
    <row r="45" spans="1:4" x14ac:dyDescent="0.25">
      <c r="C45">
        <v>1.8</v>
      </c>
      <c r="D45" t="s">
        <v>111</v>
      </c>
    </row>
    <row r="46" spans="1:4" x14ac:dyDescent="0.25">
      <c r="A46" t="s">
        <v>110</v>
      </c>
      <c r="C46" s="11">
        <f>C44/C45</f>
        <v>2944.4444444444443</v>
      </c>
      <c r="D46" t="s">
        <v>107</v>
      </c>
    </row>
    <row r="48" spans="1:4" x14ac:dyDescent="0.25">
      <c r="A48" t="s">
        <v>112</v>
      </c>
      <c r="C48">
        <v>2</v>
      </c>
      <c r="D48" t="s">
        <v>113</v>
      </c>
    </row>
    <row r="49" spans="1:8" x14ac:dyDescent="0.25">
      <c r="A49" t="s">
        <v>114</v>
      </c>
      <c r="C49" s="14">
        <v>0.9</v>
      </c>
    </row>
    <row r="50" spans="1:8" x14ac:dyDescent="0.25">
      <c r="A50" t="s">
        <v>115</v>
      </c>
      <c r="C50">
        <v>24</v>
      </c>
      <c r="D50" t="s">
        <v>117</v>
      </c>
    </row>
    <row r="51" spans="1:8" x14ac:dyDescent="0.25">
      <c r="A51" t="s">
        <v>116</v>
      </c>
      <c r="C51" s="12">
        <f>C46*C48*C50*C37</f>
        <v>19705532.421177868</v>
      </c>
      <c r="D51" t="s">
        <v>118</v>
      </c>
    </row>
    <row r="52" spans="1:8" x14ac:dyDescent="0.25">
      <c r="A52" t="s">
        <v>116</v>
      </c>
      <c r="C52" s="11">
        <f>C51/1000</f>
        <v>19705.532421177868</v>
      </c>
      <c r="D52" t="s">
        <v>43</v>
      </c>
    </row>
    <row r="54" spans="1:8" x14ac:dyDescent="0.25">
      <c r="A54" t="s">
        <v>85</v>
      </c>
      <c r="C54" s="11">
        <f>C52/C25</f>
        <v>1407.5380300841334</v>
      </c>
      <c r="D54" t="s">
        <v>119</v>
      </c>
    </row>
    <row r="55" spans="1:8" x14ac:dyDescent="0.25">
      <c r="A55" t="s">
        <v>120</v>
      </c>
      <c r="C55" s="11">
        <f>C31/C26*C54</f>
        <v>3870.7295827313665</v>
      </c>
      <c r="D55" t="s">
        <v>44</v>
      </c>
    </row>
    <row r="57" spans="1:8" x14ac:dyDescent="0.25">
      <c r="A57" s="1" t="s">
        <v>121</v>
      </c>
    </row>
    <row r="59" spans="1:8" x14ac:dyDescent="0.25">
      <c r="A59" t="s">
        <v>126</v>
      </c>
      <c r="C59" s="40" t="s">
        <v>278</v>
      </c>
      <c r="D59" t="s">
        <v>177</v>
      </c>
    </row>
    <row r="60" spans="1:8" x14ac:dyDescent="0.25">
      <c r="C60" t="s">
        <v>277</v>
      </c>
    </row>
    <row r="62" spans="1:8" ht="47.25" x14ac:dyDescent="0.25">
      <c r="F62" s="13" t="s">
        <v>275</v>
      </c>
      <c r="G62">
        <v>12000</v>
      </c>
    </row>
    <row r="63" spans="1:8" ht="47.25" x14ac:dyDescent="0.25">
      <c r="F63" s="13" t="s">
        <v>272</v>
      </c>
      <c r="G63">
        <f>C35</f>
        <v>1500</v>
      </c>
    </row>
    <row r="64" spans="1:8" ht="31.5" x14ac:dyDescent="0.25">
      <c r="A64" t="s">
        <v>123</v>
      </c>
      <c r="C64" s="40">
        <v>10000</v>
      </c>
      <c r="D64" t="s">
        <v>122</v>
      </c>
      <c r="F64" s="13" t="s">
        <v>274</v>
      </c>
      <c r="G64" s="43">
        <f>G63/400*G62</f>
        <v>45000</v>
      </c>
      <c r="H64" t="s">
        <v>122</v>
      </c>
    </row>
    <row r="65" spans="1:4" s="42" customFormat="1" x14ac:dyDescent="0.25"/>
    <row r="66" spans="1:4" s="42" customFormat="1" x14ac:dyDescent="0.25">
      <c r="A66" s="42" t="s">
        <v>279</v>
      </c>
      <c r="C66" s="9">
        <f>IF(C59="window",C64,IF(C59="central",G64,0))</f>
        <v>10000</v>
      </c>
      <c r="D66" s="42" t="s">
        <v>122</v>
      </c>
    </row>
    <row r="67" spans="1:4" x14ac:dyDescent="0.25">
      <c r="A67" t="s">
        <v>276</v>
      </c>
      <c r="C67" s="40">
        <v>13</v>
      </c>
      <c r="D67" t="s">
        <v>124</v>
      </c>
    </row>
    <row r="68" spans="1:4" x14ac:dyDescent="0.25">
      <c r="A68" t="s">
        <v>273</v>
      </c>
      <c r="C68" s="11">
        <f>C66/C67</f>
        <v>769.23076923076928</v>
      </c>
      <c r="D68" t="s">
        <v>125</v>
      </c>
    </row>
    <row r="70" spans="1:4" x14ac:dyDescent="0.25">
      <c r="A70" t="s">
        <v>127</v>
      </c>
      <c r="C70">
        <v>950</v>
      </c>
      <c r="D70" t="s">
        <v>128</v>
      </c>
    </row>
    <row r="71" spans="1:4" x14ac:dyDescent="0.25">
      <c r="A71" t="s">
        <v>131</v>
      </c>
      <c r="C71">
        <v>90</v>
      </c>
      <c r="D71" t="s">
        <v>102</v>
      </c>
    </row>
    <row r="72" spans="1:4" x14ac:dyDescent="0.25">
      <c r="A72" t="s">
        <v>129</v>
      </c>
      <c r="C72">
        <v>75</v>
      </c>
      <c r="D72" t="s">
        <v>104</v>
      </c>
    </row>
    <row r="73" spans="1:4" x14ac:dyDescent="0.25">
      <c r="A73" t="s">
        <v>105</v>
      </c>
      <c r="C73" s="40">
        <v>78</v>
      </c>
      <c r="D73" t="s">
        <v>104</v>
      </c>
    </row>
    <row r="74" spans="1:4" x14ac:dyDescent="0.25">
      <c r="A74" t="s">
        <v>130</v>
      </c>
      <c r="C74">
        <f>(C73-C72)*C71</f>
        <v>270</v>
      </c>
      <c r="D74" t="s">
        <v>107</v>
      </c>
    </row>
    <row r="75" spans="1:4" x14ac:dyDescent="0.25">
      <c r="A75" t="s">
        <v>132</v>
      </c>
      <c r="C75" s="9">
        <f>C70-C74</f>
        <v>680</v>
      </c>
      <c r="D75" t="s">
        <v>107</v>
      </c>
    </row>
    <row r="77" spans="1:4" x14ac:dyDescent="0.25">
      <c r="A77" t="s">
        <v>133</v>
      </c>
      <c r="C77">
        <f>24/20</f>
        <v>1.2</v>
      </c>
    </row>
    <row r="78" spans="1:4" x14ac:dyDescent="0.25">
      <c r="A78" t="s">
        <v>134</v>
      </c>
      <c r="C78" s="9">
        <f>C75*C77</f>
        <v>816</v>
      </c>
    </row>
    <row r="80" spans="1:4" x14ac:dyDescent="0.25">
      <c r="A80" t="s">
        <v>135</v>
      </c>
      <c r="C80" s="24">
        <f>C78*C68/1000</f>
        <v>627.69230769230774</v>
      </c>
      <c r="D80" t="s">
        <v>43</v>
      </c>
    </row>
  </sheetData>
  <mergeCells count="8">
    <mergeCell ref="A23:B23"/>
    <mergeCell ref="A25:B25"/>
    <mergeCell ref="B5:C5"/>
    <mergeCell ref="D5:E5"/>
    <mergeCell ref="A18:B18"/>
    <mergeCell ref="A19:B19"/>
    <mergeCell ref="A20:B20"/>
    <mergeCell ref="A21:B2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C12" sqref="C12"/>
    </sheetView>
  </sheetViews>
  <sheetFormatPr defaultColWidth="11" defaultRowHeight="15.75" x14ac:dyDescent="0.25"/>
  <sheetData>
    <row r="1" spans="1:14" x14ac:dyDescent="0.25">
      <c r="A1" s="1" t="s">
        <v>136</v>
      </c>
    </row>
    <row r="3" spans="1:14" ht="16.5" thickBot="1" x14ac:dyDescent="0.3">
      <c r="A3" s="25"/>
    </row>
    <row r="4" spans="1:14" ht="48" thickBot="1" x14ac:dyDescent="0.3">
      <c r="A4" s="19" t="s">
        <v>141</v>
      </c>
      <c r="B4" s="48" t="s">
        <v>57</v>
      </c>
      <c r="C4" s="49"/>
      <c r="D4" s="48" t="s">
        <v>66</v>
      </c>
      <c r="E4" s="49"/>
      <c r="G4" s="20" t="s">
        <v>142</v>
      </c>
      <c r="H4" s="13"/>
      <c r="I4" s="13" t="s">
        <v>143</v>
      </c>
      <c r="J4" s="13" t="s">
        <v>144</v>
      </c>
      <c r="K4" s="13" t="s">
        <v>145</v>
      </c>
      <c r="L4" s="13" t="s">
        <v>146</v>
      </c>
      <c r="M4" s="13" t="s">
        <v>125</v>
      </c>
      <c r="N4" s="13" t="s">
        <v>147</v>
      </c>
    </row>
    <row r="5" spans="1:14" ht="16.5" thickBot="1" x14ac:dyDescent="0.3">
      <c r="A5" s="17"/>
      <c r="B5" s="18" t="s">
        <v>58</v>
      </c>
      <c r="C5" s="18" t="s">
        <v>67</v>
      </c>
      <c r="D5" s="18" t="s">
        <v>72</v>
      </c>
      <c r="E5" s="18" t="s">
        <v>283</v>
      </c>
      <c r="J5">
        <v>17.5</v>
      </c>
    </row>
    <row r="6" spans="1:14" ht="32.25" thickBot="1" x14ac:dyDescent="0.3">
      <c r="A6" s="17" t="s">
        <v>137</v>
      </c>
      <c r="B6" s="41"/>
      <c r="C6" s="41"/>
      <c r="D6" s="41"/>
      <c r="E6" s="41"/>
      <c r="G6" s="9">
        <f>B6+C6+5/2*(D6+E6)</f>
        <v>0</v>
      </c>
      <c r="I6" s="40">
        <v>75</v>
      </c>
      <c r="K6">
        <f>$J$5*I6</f>
        <v>1312.5</v>
      </c>
      <c r="L6">
        <v>17.5</v>
      </c>
      <c r="M6">
        <f>K6/L6</f>
        <v>75</v>
      </c>
      <c r="N6" s="9">
        <f>M6*G6</f>
        <v>0</v>
      </c>
    </row>
    <row r="7" spans="1:14" ht="16.5" thickBot="1" x14ac:dyDescent="0.3">
      <c r="A7" s="17" t="s">
        <v>138</v>
      </c>
      <c r="B7" s="41">
        <v>15</v>
      </c>
      <c r="C7" s="41">
        <v>15</v>
      </c>
      <c r="D7" s="41">
        <v>15</v>
      </c>
      <c r="E7" s="41">
        <v>15</v>
      </c>
      <c r="G7" s="9">
        <f>B7+C7+5/2*(D7+E7)</f>
        <v>105</v>
      </c>
      <c r="I7" s="40">
        <v>75</v>
      </c>
      <c r="K7">
        <f>$J$5*I7</f>
        <v>1312.5</v>
      </c>
      <c r="L7">
        <v>70</v>
      </c>
      <c r="M7">
        <f>K7/L7</f>
        <v>18.75</v>
      </c>
      <c r="N7" s="9">
        <f>M7*G7</f>
        <v>1968.75</v>
      </c>
    </row>
    <row r="8" spans="1:14" ht="16.5" thickBot="1" x14ac:dyDescent="0.3">
      <c r="A8" s="17" t="s">
        <v>288</v>
      </c>
      <c r="B8" s="41">
        <v>10</v>
      </c>
      <c r="C8" s="41">
        <v>10</v>
      </c>
      <c r="D8" s="41">
        <v>10</v>
      </c>
      <c r="E8" s="41">
        <v>10</v>
      </c>
      <c r="G8" s="9">
        <f>B8+C8+5/2*(D8+E8)</f>
        <v>70</v>
      </c>
      <c r="I8" s="40">
        <v>60</v>
      </c>
      <c r="K8">
        <f>$J$5*I8</f>
        <v>1050</v>
      </c>
      <c r="L8">
        <f>J5*60/10.5</f>
        <v>100</v>
      </c>
      <c r="M8">
        <f>K8/L8</f>
        <v>10.5</v>
      </c>
      <c r="N8" s="9">
        <f>M8*G8</f>
        <v>735</v>
      </c>
    </row>
    <row r="9" spans="1:14" ht="48" thickBot="1" x14ac:dyDescent="0.3">
      <c r="A9" s="17" t="s">
        <v>139</v>
      </c>
      <c r="B9" s="41"/>
      <c r="C9" s="41"/>
      <c r="D9" s="41"/>
      <c r="E9" s="41"/>
      <c r="G9" s="9">
        <f>B9+C9+5/2*(D9+E9)</f>
        <v>0</v>
      </c>
      <c r="I9" s="40">
        <v>75</v>
      </c>
      <c r="K9">
        <f>$J$5*I9</f>
        <v>1312.5</v>
      </c>
      <c r="L9">
        <v>100</v>
      </c>
      <c r="M9">
        <f>K9/L9</f>
        <v>13.125</v>
      </c>
      <c r="N9" s="9">
        <f>M9*G9</f>
        <v>0</v>
      </c>
    </row>
    <row r="10" spans="1:14" ht="32.25" thickBot="1" x14ac:dyDescent="0.3">
      <c r="A10" s="17" t="s">
        <v>140</v>
      </c>
      <c r="B10" s="18"/>
      <c r="C10" s="18"/>
      <c r="D10" s="18"/>
      <c r="E10" s="18"/>
    </row>
    <row r="12" spans="1:14" ht="45" customHeight="1" x14ac:dyDescent="0.25">
      <c r="A12" s="50" t="s">
        <v>148</v>
      </c>
      <c r="B12" s="50"/>
      <c r="C12" s="11">
        <f>SUM(N6:N9)/1000</f>
        <v>2.7037499999999999</v>
      </c>
    </row>
    <row r="13" spans="1:14" ht="30" customHeight="1" x14ac:dyDescent="0.25">
      <c r="A13" s="50" t="s">
        <v>149</v>
      </c>
      <c r="B13" s="50"/>
      <c r="C13" s="11">
        <f>C12*52</f>
        <v>140.595</v>
      </c>
    </row>
  </sheetData>
  <mergeCells count="4">
    <mergeCell ref="B4:C4"/>
    <mergeCell ref="D4:E4"/>
    <mergeCell ref="A12:B12"/>
    <mergeCell ref="A13:B1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3" workbookViewId="0">
      <selection activeCell="H29" sqref="H29"/>
    </sheetView>
  </sheetViews>
  <sheetFormatPr defaultColWidth="11" defaultRowHeight="15.75" x14ac:dyDescent="0.25"/>
  <sheetData>
    <row r="1" spans="1:12" x14ac:dyDescent="0.25">
      <c r="A1" s="1" t="s">
        <v>150</v>
      </c>
    </row>
    <row r="3" spans="1:12" ht="16.5" thickBot="1" x14ac:dyDescent="0.3">
      <c r="A3" s="25"/>
    </row>
    <row r="4" spans="1:12" ht="16.5" thickBot="1" x14ac:dyDescent="0.3">
      <c r="A4" s="15"/>
      <c r="B4" s="48" t="s">
        <v>57</v>
      </c>
      <c r="C4" s="49"/>
      <c r="D4" s="48" t="s">
        <v>66</v>
      </c>
      <c r="E4" s="49"/>
      <c r="F4" s="16"/>
    </row>
    <row r="5" spans="1:12" ht="32.25" thickBot="1" x14ac:dyDescent="0.3">
      <c r="A5" s="26" t="s">
        <v>165</v>
      </c>
      <c r="B5" s="18" t="s">
        <v>58</v>
      </c>
      <c r="C5" s="18" t="s">
        <v>67</v>
      </c>
      <c r="D5" s="18" t="s">
        <v>72</v>
      </c>
      <c r="E5" s="18" t="s">
        <v>283</v>
      </c>
      <c r="F5" s="18" t="s">
        <v>68</v>
      </c>
      <c r="H5" s="27" t="s">
        <v>166</v>
      </c>
      <c r="J5" s="2" t="s">
        <v>167</v>
      </c>
      <c r="L5" s="2" t="s">
        <v>168</v>
      </c>
    </row>
    <row r="6" spans="1:12" ht="32.25" thickBot="1" x14ac:dyDescent="0.3">
      <c r="A6" s="17" t="s">
        <v>151</v>
      </c>
      <c r="B6" s="41">
        <v>8</v>
      </c>
      <c r="C6" s="41">
        <v>8</v>
      </c>
      <c r="D6" s="41">
        <v>8</v>
      </c>
      <c r="E6" s="41">
        <v>8</v>
      </c>
      <c r="F6" s="18" t="s">
        <v>69</v>
      </c>
      <c r="H6" s="9">
        <f>SUM(B6:C6)+5/2*SUM(D6:E6)</f>
        <v>56</v>
      </c>
      <c r="J6" s="15">
        <v>750</v>
      </c>
      <c r="L6" s="9">
        <f>H6*J6</f>
        <v>42000</v>
      </c>
    </row>
    <row r="7" spans="1:12" ht="48" thickBot="1" x14ac:dyDescent="0.3">
      <c r="A7" s="17" t="s">
        <v>152</v>
      </c>
      <c r="B7" s="41"/>
      <c r="C7" s="41"/>
      <c r="D7" s="41"/>
      <c r="E7" s="41"/>
      <c r="F7" s="18" t="s">
        <v>69</v>
      </c>
      <c r="H7" s="9">
        <f>SUM(B7:C7)+5/2*SUM(D7:E7)</f>
        <v>0</v>
      </c>
      <c r="J7" s="17">
        <v>330</v>
      </c>
      <c r="L7" s="9">
        <f t="shared" ref="L7:L25" si="0">H7*J7</f>
        <v>0</v>
      </c>
    </row>
    <row r="8" spans="1:12" ht="48" thickBot="1" x14ac:dyDescent="0.3">
      <c r="A8" s="17" t="s">
        <v>153</v>
      </c>
      <c r="B8" s="41"/>
      <c r="C8" s="41"/>
      <c r="D8" s="41"/>
      <c r="E8" s="41"/>
      <c r="F8" s="18" t="s">
        <v>69</v>
      </c>
      <c r="H8" s="9">
        <f>SUM(B8:C8)+5/2*SUM(D8:E8)</f>
        <v>0</v>
      </c>
      <c r="J8" s="17">
        <v>300</v>
      </c>
      <c r="L8" s="9">
        <f t="shared" si="0"/>
        <v>0</v>
      </c>
    </row>
    <row r="9" spans="1:12" ht="32.25" thickBot="1" x14ac:dyDescent="0.3">
      <c r="A9" s="17" t="s">
        <v>154</v>
      </c>
      <c r="B9" s="41"/>
      <c r="C9" s="41"/>
      <c r="D9" s="41"/>
      <c r="E9" s="41"/>
      <c r="F9" s="41">
        <v>3</v>
      </c>
      <c r="H9" s="9">
        <f>SUM(B9:C9)+5/2*SUM(D9:E9)+F9</f>
        <v>3</v>
      </c>
      <c r="J9" s="17">
        <v>375</v>
      </c>
      <c r="L9" s="9">
        <f t="shared" si="0"/>
        <v>1125</v>
      </c>
    </row>
    <row r="10" spans="1:12" ht="32.25" thickBot="1" x14ac:dyDescent="0.3">
      <c r="A10" s="17" t="s">
        <v>155</v>
      </c>
      <c r="B10" s="41"/>
      <c r="C10" s="41"/>
      <c r="D10" s="41"/>
      <c r="E10" s="41"/>
      <c r="F10" s="18"/>
      <c r="H10" s="9">
        <f>SUM(B10:C10)+5/2*SUM(D10:E10)+F10</f>
        <v>0</v>
      </c>
      <c r="J10" s="28">
        <v>5000</v>
      </c>
      <c r="L10" s="9">
        <f t="shared" si="0"/>
        <v>0</v>
      </c>
    </row>
    <row r="11" spans="1:12" ht="48" thickBot="1" x14ac:dyDescent="0.3">
      <c r="A11" s="17" t="s">
        <v>156</v>
      </c>
      <c r="B11" s="41"/>
      <c r="C11" s="41"/>
      <c r="D11" s="41"/>
      <c r="E11" s="41"/>
      <c r="F11" s="41">
        <v>3</v>
      </c>
      <c r="H11" s="9">
        <f>SUM(B11:C11)+5/2*SUM(D11:E11)+F11</f>
        <v>3</v>
      </c>
      <c r="J11" s="28">
        <v>2500</v>
      </c>
      <c r="L11" s="9">
        <f t="shared" si="0"/>
        <v>7500</v>
      </c>
    </row>
    <row r="12" spans="1:12" ht="16.5" thickBot="1" x14ac:dyDescent="0.3">
      <c r="A12" s="17" t="s">
        <v>157</v>
      </c>
      <c r="B12" s="41"/>
      <c r="C12" s="41"/>
      <c r="D12" s="41"/>
      <c r="E12" s="41"/>
      <c r="F12" s="18" t="s">
        <v>69</v>
      </c>
      <c r="H12" s="9">
        <f t="shared" ref="H12:H25" si="1">SUM(B12:C12)+5/2*SUM(D12:E12)</f>
        <v>0</v>
      </c>
      <c r="J12" s="28">
        <v>1875</v>
      </c>
      <c r="L12" s="9">
        <f t="shared" si="0"/>
        <v>0</v>
      </c>
    </row>
    <row r="13" spans="1:12" ht="32.25" thickBot="1" x14ac:dyDescent="0.3">
      <c r="A13" s="17" t="s">
        <v>158</v>
      </c>
      <c r="B13" s="41"/>
      <c r="C13" s="41"/>
      <c r="D13" s="41"/>
      <c r="E13" s="41"/>
      <c r="F13" s="18" t="s">
        <v>69</v>
      </c>
      <c r="H13" s="9">
        <f t="shared" si="1"/>
        <v>0</v>
      </c>
      <c r="J13" s="28">
        <v>1450</v>
      </c>
      <c r="L13" s="9">
        <f t="shared" si="0"/>
        <v>0</v>
      </c>
    </row>
    <row r="14" spans="1:12" ht="16.5" thickBot="1" x14ac:dyDescent="0.3">
      <c r="A14" s="17" t="s">
        <v>159</v>
      </c>
      <c r="B14" s="41"/>
      <c r="C14" s="41"/>
      <c r="D14" s="41"/>
      <c r="E14" s="41"/>
      <c r="F14" s="18" t="s">
        <v>69</v>
      </c>
      <c r="H14" s="9">
        <f t="shared" si="1"/>
        <v>0</v>
      </c>
      <c r="J14" s="17">
        <v>50</v>
      </c>
      <c r="L14" s="9">
        <f t="shared" si="0"/>
        <v>0</v>
      </c>
    </row>
    <row r="15" spans="1:12" ht="63.75" thickBot="1" x14ac:dyDescent="0.3">
      <c r="A15" s="17" t="s">
        <v>160</v>
      </c>
      <c r="B15" s="41"/>
      <c r="C15" s="41"/>
      <c r="D15" s="41"/>
      <c r="E15" s="41"/>
      <c r="F15" s="18" t="s">
        <v>69</v>
      </c>
      <c r="H15" s="9">
        <f t="shared" si="1"/>
        <v>0</v>
      </c>
      <c r="J15" s="17">
        <v>100</v>
      </c>
      <c r="L15" s="9">
        <f t="shared" si="0"/>
        <v>0</v>
      </c>
    </row>
    <row r="16" spans="1:12" ht="32.25" thickBot="1" x14ac:dyDescent="0.3">
      <c r="A16" s="17" t="s">
        <v>161</v>
      </c>
      <c r="B16" s="41">
        <v>12</v>
      </c>
      <c r="C16" s="41">
        <v>12</v>
      </c>
      <c r="D16" s="41">
        <v>12</v>
      </c>
      <c r="E16" s="41">
        <v>12</v>
      </c>
      <c r="F16" s="18" t="s">
        <v>69</v>
      </c>
      <c r="H16" s="9">
        <f t="shared" si="1"/>
        <v>84</v>
      </c>
      <c r="J16" s="17">
        <v>85</v>
      </c>
      <c r="L16" s="9">
        <f t="shared" si="0"/>
        <v>7140</v>
      </c>
    </row>
    <row r="17" spans="1:12" ht="63.75" thickBot="1" x14ac:dyDescent="0.3">
      <c r="A17" s="17" t="s">
        <v>162</v>
      </c>
      <c r="B17" s="41">
        <v>8</v>
      </c>
      <c r="C17" s="41">
        <v>8</v>
      </c>
      <c r="D17" s="41">
        <v>8</v>
      </c>
      <c r="E17" s="41">
        <v>8</v>
      </c>
      <c r="F17" s="18" t="s">
        <v>69</v>
      </c>
      <c r="H17" s="9">
        <f t="shared" si="1"/>
        <v>56</v>
      </c>
      <c r="J17" s="17">
        <v>7</v>
      </c>
      <c r="L17" s="9">
        <f t="shared" si="0"/>
        <v>392</v>
      </c>
    </row>
    <row r="18" spans="1:12" ht="16.5" thickBot="1" x14ac:dyDescent="0.3">
      <c r="A18" s="17" t="s">
        <v>163</v>
      </c>
      <c r="B18" s="41">
        <v>24</v>
      </c>
      <c r="C18" s="41">
        <v>24</v>
      </c>
      <c r="D18" s="41">
        <v>24</v>
      </c>
      <c r="E18" s="41">
        <v>24</v>
      </c>
      <c r="F18" s="18" t="s">
        <v>69</v>
      </c>
      <c r="H18" s="9">
        <f t="shared" si="1"/>
        <v>168</v>
      </c>
      <c r="J18" s="17">
        <v>4</v>
      </c>
      <c r="L18" s="9">
        <f t="shared" si="0"/>
        <v>672</v>
      </c>
    </row>
    <row r="19" spans="1:12" ht="63.75" thickBot="1" x14ac:dyDescent="0.3">
      <c r="A19" s="15" t="s">
        <v>169</v>
      </c>
      <c r="B19" s="41"/>
      <c r="C19" s="41"/>
      <c r="D19" s="41"/>
      <c r="E19" s="41"/>
      <c r="F19" s="18" t="s">
        <v>69</v>
      </c>
      <c r="H19" s="9">
        <f t="shared" si="1"/>
        <v>0</v>
      </c>
      <c r="J19" s="17">
        <v>30</v>
      </c>
      <c r="L19" s="9">
        <f t="shared" si="0"/>
        <v>0</v>
      </c>
    </row>
    <row r="20" spans="1:12" ht="63.75" thickBot="1" x14ac:dyDescent="0.3">
      <c r="A20" s="17" t="s">
        <v>170</v>
      </c>
      <c r="B20" s="41"/>
      <c r="C20" s="41"/>
      <c r="D20" s="41"/>
      <c r="E20" s="41"/>
      <c r="F20" s="18" t="s">
        <v>69</v>
      </c>
      <c r="H20" s="9">
        <f t="shared" si="1"/>
        <v>0</v>
      </c>
      <c r="J20" s="17">
        <v>60</v>
      </c>
      <c r="L20" s="9">
        <f t="shared" si="0"/>
        <v>0</v>
      </c>
    </row>
    <row r="21" spans="1:12" ht="48" thickBot="1" x14ac:dyDescent="0.3">
      <c r="A21" s="17" t="s">
        <v>171</v>
      </c>
      <c r="B21" s="41"/>
      <c r="C21" s="41"/>
      <c r="D21" s="41"/>
      <c r="E21" s="41"/>
      <c r="F21" s="18" t="s">
        <v>69</v>
      </c>
      <c r="H21" s="9">
        <f t="shared" si="1"/>
        <v>0</v>
      </c>
      <c r="J21" s="17">
        <v>100</v>
      </c>
      <c r="L21" s="9">
        <f t="shared" si="0"/>
        <v>0</v>
      </c>
    </row>
    <row r="22" spans="1:12" ht="48" thickBot="1" x14ac:dyDescent="0.3">
      <c r="A22" s="17" t="s">
        <v>172</v>
      </c>
      <c r="B22" s="41"/>
      <c r="C22" s="41"/>
      <c r="D22" s="41"/>
      <c r="E22" s="41"/>
      <c r="F22" s="18" t="s">
        <v>69</v>
      </c>
      <c r="H22" s="9">
        <f t="shared" si="1"/>
        <v>0</v>
      </c>
      <c r="J22" s="17">
        <v>150</v>
      </c>
      <c r="L22" s="9">
        <f t="shared" si="0"/>
        <v>0</v>
      </c>
    </row>
    <row r="23" spans="1:12" ht="48" thickBot="1" x14ac:dyDescent="0.3">
      <c r="A23" s="17" t="s">
        <v>173</v>
      </c>
      <c r="B23" s="41"/>
      <c r="C23" s="41"/>
      <c r="D23" s="41"/>
      <c r="E23" s="41"/>
      <c r="F23" s="18" t="s">
        <v>69</v>
      </c>
      <c r="H23" s="9">
        <f t="shared" si="1"/>
        <v>0</v>
      </c>
      <c r="J23" s="17">
        <v>250</v>
      </c>
      <c r="L23" s="9">
        <f t="shared" si="0"/>
        <v>0</v>
      </c>
    </row>
    <row r="24" spans="1:12" ht="48" thickBot="1" x14ac:dyDescent="0.3">
      <c r="A24" s="17" t="s">
        <v>174</v>
      </c>
      <c r="B24" s="41"/>
      <c r="C24" s="41"/>
      <c r="D24" s="41"/>
      <c r="E24" s="41"/>
      <c r="F24" s="18" t="s">
        <v>69</v>
      </c>
      <c r="H24" s="9">
        <f t="shared" si="1"/>
        <v>0</v>
      </c>
      <c r="J24" s="17">
        <v>15</v>
      </c>
      <c r="L24" s="9">
        <f t="shared" si="0"/>
        <v>0</v>
      </c>
    </row>
    <row r="25" spans="1:12" ht="16.5" thickBot="1" x14ac:dyDescent="0.3">
      <c r="A25" s="17" t="s">
        <v>164</v>
      </c>
      <c r="B25" s="41"/>
      <c r="C25" s="41"/>
      <c r="D25" s="41"/>
      <c r="E25" s="41"/>
      <c r="F25" s="18" t="s">
        <v>69</v>
      </c>
      <c r="H25" s="9">
        <f t="shared" si="1"/>
        <v>0</v>
      </c>
      <c r="J25" s="17">
        <v>100</v>
      </c>
      <c r="L25" s="9">
        <f t="shared" si="0"/>
        <v>0</v>
      </c>
    </row>
    <row r="26" spans="1:12" ht="32.25" thickBot="1" x14ac:dyDescent="0.3">
      <c r="A26" s="17" t="s">
        <v>140</v>
      </c>
      <c r="B26" s="18"/>
      <c r="C26" s="18"/>
      <c r="D26" s="18"/>
      <c r="E26" s="18"/>
      <c r="F26" s="18" t="s">
        <v>69</v>
      </c>
    </row>
    <row r="28" spans="1:12" ht="45" customHeight="1" x14ac:dyDescent="0.25">
      <c r="A28" s="50" t="s">
        <v>148</v>
      </c>
      <c r="B28" s="50"/>
      <c r="C28" s="11">
        <f>SUM(L6:L25)/1000</f>
        <v>58.829000000000001</v>
      </c>
    </row>
    <row r="29" spans="1:12" x14ac:dyDescent="0.25">
      <c r="A29" s="50" t="s">
        <v>149</v>
      </c>
      <c r="B29" s="50"/>
      <c r="C29" s="11">
        <f>C28*52</f>
        <v>3059.1080000000002</v>
      </c>
    </row>
  </sheetData>
  <mergeCells count="4">
    <mergeCell ref="B4:C4"/>
    <mergeCell ref="D4:E4"/>
    <mergeCell ref="A28:B28"/>
    <mergeCell ref="A29:B2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4" sqref="B4"/>
    </sheetView>
  </sheetViews>
  <sheetFormatPr defaultColWidth="11" defaultRowHeight="15.75" x14ac:dyDescent="0.25"/>
  <cols>
    <col min="1" max="1" width="23.875" customWidth="1"/>
  </cols>
  <sheetData>
    <row r="1" spans="1:3" x14ac:dyDescent="0.25">
      <c r="A1" s="1" t="s">
        <v>175</v>
      </c>
    </row>
    <row r="3" spans="1:3" x14ac:dyDescent="0.25">
      <c r="A3" s="2" t="s">
        <v>176</v>
      </c>
      <c r="B3" s="2" t="s">
        <v>180</v>
      </c>
    </row>
    <row r="4" spans="1:3" x14ac:dyDescent="0.25">
      <c r="A4" t="s">
        <v>177</v>
      </c>
      <c r="B4" s="12">
        <f>'2. Heating and Cooling'!C80</f>
        <v>627.69230769230774</v>
      </c>
    </row>
    <row r="5" spans="1:3" x14ac:dyDescent="0.25">
      <c r="A5" t="s">
        <v>178</v>
      </c>
      <c r="B5" s="12">
        <f>'3. Lighting'!C13</f>
        <v>140.595</v>
      </c>
    </row>
    <row r="6" spans="1:3" x14ac:dyDescent="0.25">
      <c r="A6" t="s">
        <v>179</v>
      </c>
      <c r="B6" s="12">
        <f>'4A. Electronics'!C29</f>
        <v>3059.1080000000002</v>
      </c>
    </row>
    <row r="8" spans="1:3" x14ac:dyDescent="0.25">
      <c r="A8" s="22" t="s">
        <v>49</v>
      </c>
      <c r="B8" s="11">
        <f>SUM(B4:B6)</f>
        <v>3827.3953076923081</v>
      </c>
    </row>
    <row r="10" spans="1:3" x14ac:dyDescent="0.25">
      <c r="A10" t="s">
        <v>181</v>
      </c>
      <c r="B10" s="14">
        <v>7.0000000000000007E-2</v>
      </c>
    </row>
    <row r="12" spans="1:3" x14ac:dyDescent="0.25">
      <c r="A12" t="s">
        <v>182</v>
      </c>
      <c r="B12" s="11">
        <f>B8/(1-B10)</f>
        <v>4115.4788254756004</v>
      </c>
    </row>
    <row r="14" spans="1:3" x14ac:dyDescent="0.25">
      <c r="A14" s="2" t="s">
        <v>183</v>
      </c>
      <c r="C14" t="s">
        <v>188</v>
      </c>
    </row>
    <row r="15" spans="1:3" x14ac:dyDescent="0.25">
      <c r="A15" t="s">
        <v>184</v>
      </c>
      <c r="B15" s="14">
        <v>0.17</v>
      </c>
      <c r="C15">
        <v>1</v>
      </c>
    </row>
    <row r="16" spans="1:3" x14ac:dyDescent="0.25">
      <c r="A16" t="s">
        <v>185</v>
      </c>
      <c r="B16" s="14">
        <v>0.49</v>
      </c>
      <c r="C16">
        <v>0.6</v>
      </c>
    </row>
    <row r="17" spans="1:3" x14ac:dyDescent="0.25">
      <c r="A17" t="s">
        <v>186</v>
      </c>
      <c r="B17" s="14">
        <v>0.33</v>
      </c>
      <c r="C17">
        <v>0.02</v>
      </c>
    </row>
    <row r="18" spans="1:3" x14ac:dyDescent="0.25">
      <c r="A18" t="s">
        <v>187</v>
      </c>
      <c r="B18" s="14">
        <v>0.01</v>
      </c>
      <c r="C18">
        <v>0.02</v>
      </c>
    </row>
    <row r="20" spans="1:3" x14ac:dyDescent="0.25">
      <c r="A20" t="s">
        <v>189</v>
      </c>
      <c r="C20" s="6">
        <f>SUMPRODUCT(B15:B18*C15:C18)</f>
        <v>0.47079999999999994</v>
      </c>
    </row>
    <row r="22" spans="1:3" x14ac:dyDescent="0.25">
      <c r="A22" t="s">
        <v>191</v>
      </c>
      <c r="B22" s="11">
        <f>B12*C20</f>
        <v>1937.5674310339125</v>
      </c>
      <c r="C22" t="s">
        <v>194</v>
      </c>
    </row>
    <row r="24" spans="1:3" x14ac:dyDescent="0.25">
      <c r="A24" t="s">
        <v>192</v>
      </c>
      <c r="B24" s="14">
        <v>0.38</v>
      </c>
    </row>
    <row r="25" spans="1:3" x14ac:dyDescent="0.25">
      <c r="A25" t="s">
        <v>193</v>
      </c>
      <c r="B25" s="11">
        <f>B12/B24</f>
        <v>10830.207435462105</v>
      </c>
      <c r="C25" t="s">
        <v>180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C21" sqref="C21"/>
    </sheetView>
  </sheetViews>
  <sheetFormatPr defaultColWidth="11" defaultRowHeight="15.75" x14ac:dyDescent="0.25"/>
  <cols>
    <col min="1" max="1" width="20.625" customWidth="1"/>
    <col min="3" max="3" width="13.625" customWidth="1"/>
  </cols>
  <sheetData>
    <row r="1" spans="1:12" x14ac:dyDescent="0.25">
      <c r="A1" s="1" t="s">
        <v>195</v>
      </c>
    </row>
    <row r="2" spans="1:12" x14ac:dyDescent="0.25">
      <c r="A2" s="1"/>
    </row>
    <row r="3" spans="1:12" ht="16.5" thickBot="1" x14ac:dyDescent="0.3">
      <c r="A3" s="22" t="s">
        <v>210</v>
      </c>
      <c r="B3" s="22" t="s">
        <v>211</v>
      </c>
      <c r="C3" s="2" t="s">
        <v>212</v>
      </c>
      <c r="D3" s="2" t="s">
        <v>213</v>
      </c>
      <c r="F3" s="2" t="s">
        <v>214</v>
      </c>
      <c r="H3" s="2" t="s">
        <v>215</v>
      </c>
      <c r="I3" s="2" t="s">
        <v>216</v>
      </c>
      <c r="J3" s="2" t="s">
        <v>258</v>
      </c>
      <c r="L3" s="2" t="s">
        <v>218</v>
      </c>
    </row>
    <row r="4" spans="1:12" ht="16.5" thickBot="1" x14ac:dyDescent="0.3">
      <c r="A4" s="15" t="s">
        <v>196</v>
      </c>
      <c r="B4" s="29">
        <v>0.18099999999999999</v>
      </c>
      <c r="C4" s="40">
        <v>0</v>
      </c>
      <c r="D4" s="40">
        <v>0</v>
      </c>
      <c r="F4">
        <v>1.2</v>
      </c>
      <c r="H4" s="12">
        <f>C4/$B4*$F$4</f>
        <v>0</v>
      </c>
      <c r="I4" s="12">
        <f t="shared" ref="I4:I19" si="0">D4/$B4*$F$4</f>
        <v>0</v>
      </c>
      <c r="J4" s="12">
        <f>(H4+I4)/2</f>
        <v>0</v>
      </c>
      <c r="L4" s="11">
        <f t="shared" ref="L4" si="1">J4*365.25/1000</f>
        <v>0</v>
      </c>
    </row>
    <row r="5" spans="1:12" ht="16.5" thickBot="1" x14ac:dyDescent="0.3">
      <c r="A5" s="17" t="s">
        <v>197</v>
      </c>
      <c r="B5" s="30">
        <v>0.20599999999999999</v>
      </c>
      <c r="C5" s="40">
        <v>350</v>
      </c>
      <c r="D5" s="40">
        <v>350</v>
      </c>
      <c r="H5" s="12">
        <f t="shared" ref="H5:H19" si="2">C5/$B5*$F$4</f>
        <v>2038.8349514563106</v>
      </c>
      <c r="I5" s="12">
        <f t="shared" si="0"/>
        <v>2038.8349514563106</v>
      </c>
      <c r="J5" s="12">
        <f t="shared" ref="J5:J21" si="3">(H5+I5)/2</f>
        <v>2038.8349514563106</v>
      </c>
      <c r="L5" s="11">
        <f>J5*365.25/1000</f>
        <v>744.68446601941741</v>
      </c>
    </row>
    <row r="6" spans="1:12" ht="16.5" thickBot="1" x14ac:dyDescent="0.3">
      <c r="A6" s="17" t="s">
        <v>198</v>
      </c>
      <c r="B6" s="30">
        <v>0.112</v>
      </c>
      <c r="C6" s="40">
        <v>200</v>
      </c>
      <c r="D6" s="40">
        <v>0</v>
      </c>
      <c r="H6" s="12">
        <f t="shared" si="2"/>
        <v>2142.8571428571427</v>
      </c>
      <c r="I6" s="12">
        <f t="shared" si="0"/>
        <v>0</v>
      </c>
      <c r="J6" s="12">
        <f t="shared" si="3"/>
        <v>1071.4285714285713</v>
      </c>
      <c r="L6" s="11">
        <f t="shared" ref="L6:L9" si="4">J6*365.25/1000</f>
        <v>391.33928571428567</v>
      </c>
    </row>
    <row r="7" spans="1:12" ht="16.5" thickBot="1" x14ac:dyDescent="0.3">
      <c r="A7" s="17" t="s">
        <v>199</v>
      </c>
      <c r="B7" s="30">
        <v>6.4000000000000001E-2</v>
      </c>
      <c r="C7" s="40">
        <v>0</v>
      </c>
      <c r="D7" s="40">
        <v>0</v>
      </c>
      <c r="H7" s="12">
        <f t="shared" si="2"/>
        <v>0</v>
      </c>
      <c r="I7" s="12">
        <f t="shared" si="0"/>
        <v>0</v>
      </c>
      <c r="J7" s="12">
        <f t="shared" si="3"/>
        <v>0</v>
      </c>
      <c r="L7" s="11">
        <f t="shared" si="4"/>
        <v>0</v>
      </c>
    </row>
    <row r="8" spans="1:12" ht="16.5" thickBot="1" x14ac:dyDescent="0.3">
      <c r="A8" s="17" t="s">
        <v>200</v>
      </c>
      <c r="B8" s="30">
        <v>3.6999999999999998E-2</v>
      </c>
      <c r="C8" s="40">
        <v>0</v>
      </c>
      <c r="D8" s="40">
        <v>0</v>
      </c>
      <c r="H8" s="12">
        <f t="shared" si="2"/>
        <v>0</v>
      </c>
      <c r="I8" s="12">
        <f t="shared" si="0"/>
        <v>0</v>
      </c>
      <c r="J8" s="12">
        <f t="shared" si="3"/>
        <v>0</v>
      </c>
      <c r="L8" s="11">
        <f t="shared" si="4"/>
        <v>0</v>
      </c>
    </row>
    <row r="9" spans="1:12" ht="16.5" thickBot="1" x14ac:dyDescent="0.3">
      <c r="A9" s="17" t="s">
        <v>201</v>
      </c>
      <c r="B9" s="30">
        <v>1.2E-2</v>
      </c>
      <c r="C9" s="40">
        <v>0</v>
      </c>
      <c r="D9" s="40">
        <v>0</v>
      </c>
      <c r="H9" s="12">
        <f t="shared" si="2"/>
        <v>0</v>
      </c>
      <c r="I9" s="12">
        <f t="shared" si="0"/>
        <v>0</v>
      </c>
      <c r="J9" s="12">
        <f t="shared" si="3"/>
        <v>0</v>
      </c>
      <c r="L9" s="11">
        <f t="shared" si="4"/>
        <v>0</v>
      </c>
    </row>
    <row r="10" spans="1:12" ht="16.5" thickBot="1" x14ac:dyDescent="0.3">
      <c r="A10" s="17"/>
      <c r="B10" s="18"/>
      <c r="C10" s="40"/>
      <c r="D10" s="40"/>
      <c r="H10" s="12"/>
      <c r="I10" s="12"/>
      <c r="J10" s="12">
        <f t="shared" si="3"/>
        <v>0</v>
      </c>
      <c r="L10" s="9"/>
    </row>
    <row r="11" spans="1:12" ht="16.5" thickBot="1" x14ac:dyDescent="0.3">
      <c r="A11" s="17" t="s">
        <v>202</v>
      </c>
      <c r="B11" s="31">
        <v>1.1000000000000001</v>
      </c>
      <c r="C11" s="40">
        <v>0</v>
      </c>
      <c r="D11" s="40">
        <v>0</v>
      </c>
      <c r="H11" s="12">
        <f t="shared" si="2"/>
        <v>0</v>
      </c>
      <c r="I11" s="12">
        <f t="shared" si="0"/>
        <v>0</v>
      </c>
      <c r="J11" s="12">
        <f t="shared" si="3"/>
        <v>0</v>
      </c>
      <c r="L11" s="11">
        <f t="shared" ref="L11:L19" si="5">J11*365.25/1000</f>
        <v>0</v>
      </c>
    </row>
    <row r="12" spans="1:12" ht="16.5" thickBot="1" x14ac:dyDescent="0.3">
      <c r="A12" s="17" t="s">
        <v>203</v>
      </c>
      <c r="B12" s="30">
        <v>5.8000000000000003E-2</v>
      </c>
      <c r="C12" s="40">
        <v>0</v>
      </c>
      <c r="D12" s="40">
        <v>0</v>
      </c>
      <c r="H12" s="12">
        <f t="shared" si="2"/>
        <v>0</v>
      </c>
      <c r="I12" s="12">
        <f t="shared" si="0"/>
        <v>0</v>
      </c>
      <c r="J12" s="12">
        <f t="shared" si="3"/>
        <v>0</v>
      </c>
      <c r="L12" s="11">
        <f t="shared" si="5"/>
        <v>0</v>
      </c>
    </row>
    <row r="13" spans="1:12" ht="16.5" thickBot="1" x14ac:dyDescent="0.3">
      <c r="A13" s="17" t="s">
        <v>204</v>
      </c>
      <c r="B13" s="30">
        <v>5.7000000000000002E-2</v>
      </c>
      <c r="C13" s="40">
        <v>300</v>
      </c>
      <c r="D13" s="40">
        <v>0</v>
      </c>
      <c r="H13" s="12">
        <f t="shared" si="2"/>
        <v>6315.78947368421</v>
      </c>
      <c r="I13" s="12">
        <f t="shared" si="0"/>
        <v>0</v>
      </c>
      <c r="J13" s="12">
        <f t="shared" si="3"/>
        <v>3157.894736842105</v>
      </c>
      <c r="L13" s="11">
        <f t="shared" si="5"/>
        <v>1153.421052631579</v>
      </c>
    </row>
    <row r="14" spans="1:12" ht="16.5" thickBot="1" x14ac:dyDescent="0.3">
      <c r="A14" s="17" t="s">
        <v>205</v>
      </c>
      <c r="B14" s="30">
        <v>8.9999999999999993E-3</v>
      </c>
      <c r="C14" s="40">
        <v>0</v>
      </c>
      <c r="D14" s="40">
        <v>0</v>
      </c>
      <c r="H14" s="12">
        <f t="shared" si="2"/>
        <v>0</v>
      </c>
      <c r="I14" s="12">
        <f t="shared" si="0"/>
        <v>0</v>
      </c>
      <c r="J14" s="12">
        <f t="shared" si="3"/>
        <v>0</v>
      </c>
      <c r="L14" s="11">
        <f t="shared" si="5"/>
        <v>0</v>
      </c>
    </row>
    <row r="15" spans="1:12" ht="16.5" thickBot="1" x14ac:dyDescent="0.3">
      <c r="A15" s="17"/>
      <c r="B15" s="18"/>
      <c r="C15" s="40"/>
      <c r="D15" s="40"/>
      <c r="H15" s="12"/>
      <c r="I15" s="12"/>
      <c r="J15" s="12">
        <f t="shared" si="3"/>
        <v>0</v>
      </c>
      <c r="L15" s="9"/>
    </row>
    <row r="16" spans="1:12" ht="16.5" thickBot="1" x14ac:dyDescent="0.3">
      <c r="A16" s="17" t="s">
        <v>206</v>
      </c>
      <c r="B16" s="31">
        <v>2.5</v>
      </c>
      <c r="C16" s="40">
        <v>400</v>
      </c>
      <c r="D16" s="40">
        <v>750</v>
      </c>
      <c r="H16" s="12">
        <f t="shared" si="2"/>
        <v>192</v>
      </c>
      <c r="I16" s="12">
        <f t="shared" si="0"/>
        <v>360</v>
      </c>
      <c r="J16" s="12">
        <f t="shared" si="3"/>
        <v>276</v>
      </c>
      <c r="L16" s="11">
        <f t="shared" si="5"/>
        <v>100.809</v>
      </c>
    </row>
    <row r="17" spans="1:12" ht="16.5" thickBot="1" x14ac:dyDescent="0.3">
      <c r="A17" s="17" t="s">
        <v>207</v>
      </c>
      <c r="B17" s="31">
        <v>4.1500000000000004</v>
      </c>
      <c r="C17" s="40">
        <v>600</v>
      </c>
      <c r="D17" s="40">
        <v>900</v>
      </c>
      <c r="H17" s="12">
        <f t="shared" si="2"/>
        <v>173.49397590361443</v>
      </c>
      <c r="I17" s="12">
        <f t="shared" si="0"/>
        <v>260.24096385542163</v>
      </c>
      <c r="J17" s="12">
        <f t="shared" si="3"/>
        <v>216.86746987951801</v>
      </c>
      <c r="L17" s="11">
        <f t="shared" si="5"/>
        <v>79.210843373493958</v>
      </c>
    </row>
    <row r="18" spans="1:12" ht="16.5" thickBot="1" x14ac:dyDescent="0.3">
      <c r="A18" s="17" t="s">
        <v>208</v>
      </c>
      <c r="B18" s="31">
        <v>1.1000000000000001</v>
      </c>
      <c r="C18" s="40">
        <v>400</v>
      </c>
      <c r="D18" s="40">
        <v>500</v>
      </c>
      <c r="H18" s="12">
        <f t="shared" si="2"/>
        <v>436.36363636363632</v>
      </c>
      <c r="I18" s="12">
        <f t="shared" si="0"/>
        <v>545.45454545454538</v>
      </c>
      <c r="J18" s="12">
        <f t="shared" si="3"/>
        <v>490.90909090909088</v>
      </c>
      <c r="L18" s="11">
        <f t="shared" si="5"/>
        <v>179.30454545454543</v>
      </c>
    </row>
    <row r="19" spans="1:12" ht="16.5" thickBot="1" x14ac:dyDescent="0.3">
      <c r="A19" s="17" t="s">
        <v>209</v>
      </c>
      <c r="B19" s="31">
        <v>1.23</v>
      </c>
      <c r="C19" s="40">
        <v>300</v>
      </c>
      <c r="D19" s="40">
        <v>0</v>
      </c>
      <c r="H19" s="12">
        <f t="shared" si="2"/>
        <v>292.6829268292683</v>
      </c>
      <c r="I19" s="12">
        <f t="shared" si="0"/>
        <v>0</v>
      </c>
      <c r="J19" s="12">
        <f t="shared" si="3"/>
        <v>146.34146341463415</v>
      </c>
      <c r="L19" s="11">
        <f t="shared" si="5"/>
        <v>53.451219512195124</v>
      </c>
    </row>
    <row r="20" spans="1:12" x14ac:dyDescent="0.25">
      <c r="J20" s="12">
        <f t="shared" si="3"/>
        <v>0</v>
      </c>
    </row>
    <row r="21" spans="1:12" x14ac:dyDescent="0.25">
      <c r="A21" s="22" t="s">
        <v>217</v>
      </c>
      <c r="C21" s="40">
        <f>SUM(C4:C19)</f>
        <v>2550</v>
      </c>
      <c r="D21" s="40">
        <f>SUM(D4:D19)</f>
        <v>2500</v>
      </c>
      <c r="H21" s="12">
        <f>SUM(H4:H19)</f>
        <v>11592.022107094183</v>
      </c>
      <c r="I21" s="12">
        <f>SUM(I4:I19)</f>
        <v>3204.5304607662779</v>
      </c>
      <c r="J21" s="12">
        <f t="shared" si="3"/>
        <v>7398.2762839302304</v>
      </c>
      <c r="L21" s="11">
        <f>SUM(L4:L19)</f>
        <v>2702.2204127055165</v>
      </c>
    </row>
    <row r="23" spans="1:12" x14ac:dyDescent="0.25">
      <c r="A23" s="22" t="s">
        <v>219</v>
      </c>
      <c r="B23" s="14">
        <v>0.4</v>
      </c>
    </row>
    <row r="24" spans="1:12" x14ac:dyDescent="0.25">
      <c r="A24" s="22" t="s">
        <v>220</v>
      </c>
      <c r="B24" s="11">
        <f>L21/(1-B23)</f>
        <v>4503.7006878425282</v>
      </c>
    </row>
    <row r="26" spans="1:12" x14ac:dyDescent="0.25">
      <c r="A26" s="22" t="s">
        <v>221</v>
      </c>
      <c r="B26" s="14">
        <v>0.1</v>
      </c>
    </row>
    <row r="27" spans="1:12" x14ac:dyDescent="0.25">
      <c r="A27" s="22" t="s">
        <v>222</v>
      </c>
      <c r="B27" s="11">
        <f>B24/(1-B26)</f>
        <v>5004.1118753805868</v>
      </c>
    </row>
    <row r="29" spans="1:12" x14ac:dyDescent="0.25">
      <c r="A29" s="22" t="s">
        <v>223</v>
      </c>
      <c r="B29">
        <v>0.2</v>
      </c>
      <c r="C29" t="s">
        <v>190</v>
      </c>
    </row>
    <row r="30" spans="1:12" x14ac:dyDescent="0.25">
      <c r="A30" s="22" t="s">
        <v>224</v>
      </c>
      <c r="B30" s="11">
        <f>B27*B29</f>
        <v>1000.8223750761174</v>
      </c>
      <c r="C30" t="s">
        <v>44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C5" sqref="C5"/>
    </sheetView>
  </sheetViews>
  <sheetFormatPr defaultColWidth="11" defaultRowHeight="15.75" x14ac:dyDescent="0.25"/>
  <cols>
    <col min="1" max="1" width="27.875" customWidth="1"/>
    <col min="5" max="5" width="22.5" customWidth="1"/>
  </cols>
  <sheetData>
    <row r="1" spans="1:7" x14ac:dyDescent="0.25">
      <c r="A1" s="1" t="s">
        <v>225</v>
      </c>
    </row>
    <row r="3" spans="1:7" ht="63" x14ac:dyDescent="0.25">
      <c r="A3" s="2" t="s">
        <v>226</v>
      </c>
      <c r="B3" s="20" t="s">
        <v>231</v>
      </c>
      <c r="C3" s="20" t="s">
        <v>232</v>
      </c>
      <c r="E3" s="20" t="s">
        <v>234</v>
      </c>
      <c r="F3" s="20" t="s">
        <v>236</v>
      </c>
    </row>
    <row r="4" spans="1:7" x14ac:dyDescent="0.25">
      <c r="A4" t="s">
        <v>233</v>
      </c>
      <c r="B4" s="44">
        <v>0</v>
      </c>
      <c r="C4" s="44">
        <v>3500</v>
      </c>
      <c r="E4">
        <v>0.1</v>
      </c>
      <c r="F4" s="11">
        <f>C4*E4</f>
        <v>350</v>
      </c>
    </row>
    <row r="5" spans="1:7" x14ac:dyDescent="0.25">
      <c r="A5" t="s">
        <v>227</v>
      </c>
      <c r="B5" s="44">
        <v>0</v>
      </c>
      <c r="C5" s="44">
        <v>500</v>
      </c>
      <c r="E5">
        <v>1.1000000000000001</v>
      </c>
      <c r="F5" s="11">
        <f>C5*E5</f>
        <v>550</v>
      </c>
    </row>
    <row r="6" spans="1:7" x14ac:dyDescent="0.25">
      <c r="A6" t="s">
        <v>228</v>
      </c>
      <c r="B6" s="44">
        <v>0</v>
      </c>
      <c r="C6" s="44">
        <v>200</v>
      </c>
      <c r="E6">
        <v>0.5</v>
      </c>
      <c r="F6" s="11">
        <f>C6*E6</f>
        <v>100</v>
      </c>
    </row>
    <row r="7" spans="1:7" x14ac:dyDescent="0.25">
      <c r="A7" t="s">
        <v>229</v>
      </c>
      <c r="B7" s="44">
        <v>0</v>
      </c>
      <c r="C7" s="44">
        <v>500</v>
      </c>
      <c r="E7">
        <v>3.9</v>
      </c>
      <c r="F7" s="11">
        <f>C7*E7</f>
        <v>1950</v>
      </c>
    </row>
    <row r="8" spans="1:7" x14ac:dyDescent="0.25">
      <c r="A8" t="s">
        <v>230</v>
      </c>
      <c r="B8" s="44">
        <v>0</v>
      </c>
      <c r="C8" s="44">
        <v>3000</v>
      </c>
      <c r="E8">
        <v>1</v>
      </c>
      <c r="F8" s="11">
        <f>C8*E8</f>
        <v>3000</v>
      </c>
    </row>
    <row r="10" spans="1:7" ht="31.5" x14ac:dyDescent="0.25">
      <c r="E10" s="13" t="s">
        <v>235</v>
      </c>
      <c r="F10" s="11">
        <f>SUM(F4:F8)</f>
        <v>5950</v>
      </c>
      <c r="G10" t="s">
        <v>43</v>
      </c>
    </row>
    <row r="12" spans="1:7" x14ac:dyDescent="0.25">
      <c r="E12" t="s">
        <v>237</v>
      </c>
      <c r="F12" s="14">
        <v>0.1</v>
      </c>
    </row>
    <row r="13" spans="1:7" ht="31.5" x14ac:dyDescent="0.25">
      <c r="E13" s="13" t="s">
        <v>238</v>
      </c>
      <c r="F13" s="11">
        <f>F10*(1+F12)</f>
        <v>6545.0000000000009</v>
      </c>
      <c r="G13" t="s">
        <v>43</v>
      </c>
    </row>
    <row r="15" spans="1:7" x14ac:dyDescent="0.25">
      <c r="E15" t="s">
        <v>223</v>
      </c>
      <c r="F15">
        <v>0.2</v>
      </c>
      <c r="G15" t="s">
        <v>190</v>
      </c>
    </row>
    <row r="16" spans="1:7" x14ac:dyDescent="0.25">
      <c r="E16" t="s">
        <v>239</v>
      </c>
      <c r="F16" s="11">
        <f>F13*F15</f>
        <v>1309.0000000000002</v>
      </c>
      <c r="G16" t="s">
        <v>44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9" sqref="B9"/>
    </sheetView>
  </sheetViews>
  <sheetFormatPr defaultColWidth="11" defaultRowHeight="15.75" x14ac:dyDescent="0.25"/>
  <cols>
    <col min="1" max="1" width="32.375" customWidth="1"/>
  </cols>
  <sheetData>
    <row r="1" spans="1:3" x14ac:dyDescent="0.25">
      <c r="A1" s="1" t="s">
        <v>240</v>
      </c>
    </row>
    <row r="3" spans="1:3" x14ac:dyDescent="0.25">
      <c r="A3" t="s">
        <v>241</v>
      </c>
      <c r="B3" s="44">
        <v>10000</v>
      </c>
    </row>
    <row r="5" spans="1:3" x14ac:dyDescent="0.25">
      <c r="A5" t="s">
        <v>242</v>
      </c>
      <c r="B5">
        <f>5.4/18</f>
        <v>0.30000000000000004</v>
      </c>
      <c r="C5" t="s">
        <v>244</v>
      </c>
    </row>
    <row r="6" spans="1:3" x14ac:dyDescent="0.25">
      <c r="A6" t="s">
        <v>243</v>
      </c>
      <c r="B6" s="6">
        <f>1/18</f>
        <v>5.5555555555555552E-2</v>
      </c>
      <c r="C6" t="s">
        <v>245</v>
      </c>
    </row>
    <row r="8" spans="1:3" x14ac:dyDescent="0.25">
      <c r="A8" t="s">
        <v>246</v>
      </c>
      <c r="B8" s="11">
        <f>B$3*B5</f>
        <v>3000.0000000000005</v>
      </c>
      <c r="C8" t="s">
        <v>43</v>
      </c>
    </row>
    <row r="9" spans="1:3" x14ac:dyDescent="0.25">
      <c r="A9" t="s">
        <v>224</v>
      </c>
      <c r="B9" s="11">
        <f>B$3*B6</f>
        <v>555.55555555555554</v>
      </c>
      <c r="C9" t="s">
        <v>44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8. SUMMARY</vt:lpstr>
      <vt:lpstr>1. Transportation</vt:lpstr>
      <vt:lpstr>2. Heating and Cooling</vt:lpstr>
      <vt:lpstr>3. Lighting</vt:lpstr>
      <vt:lpstr>4A. Electronics</vt:lpstr>
      <vt:lpstr>4B. Total electricity</vt:lpstr>
      <vt:lpstr>5. Food</vt:lpstr>
      <vt:lpstr>6. Manufactured</vt:lpstr>
      <vt:lpstr>7. Services</vt:lpstr>
    </vt:vector>
  </TitlesOfParts>
  <Company>Princeton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Kopp</dc:creator>
  <cp:lastModifiedBy>Rebecca</cp:lastModifiedBy>
  <dcterms:created xsi:type="dcterms:W3CDTF">2013-10-14T02:25:22Z</dcterms:created>
  <dcterms:modified xsi:type="dcterms:W3CDTF">2015-08-09T03:27:00Z</dcterms:modified>
</cp:coreProperties>
</file>